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bKEt81AJfauhqyH5r8LWmIISUFbSy4kQznzAuXO6sj2kXWh1DRVgplr1X1YXuqr6QJrR0Hmavfm1My0SRvDzOA==" workbookSaltValue="l7n8dgzpfp+AqeTSWeuX5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AP17" i="20"/>
  <c r="BJ22" i="11"/>
  <c r="BG10" i="11"/>
  <c r="V11" i="16"/>
  <c r="V25" i="11"/>
  <c r="BF10" i="11"/>
  <c r="S14" i="16"/>
  <c r="P14" i="16"/>
  <c r="F13" i="16"/>
  <c r="Z14" i="17"/>
  <c r="R30" i="17"/>
  <c r="K26" i="2"/>
  <c r="N26" i="2"/>
  <c r="M23" i="2"/>
  <c r="K30" i="2"/>
  <c r="F30" i="17"/>
  <c r="F26" i="17"/>
  <c r="F14" i="7"/>
  <c r="V11" i="11"/>
  <c r="BM12" i="11"/>
  <c r="V9" i="11"/>
  <c r="BJ16" i="11"/>
  <c r="AP16" i="20"/>
  <c r="R25" i="14"/>
  <c r="V20" i="11"/>
  <c r="BL25" i="11"/>
  <c r="BG19" i="11"/>
  <c r="AZ9" i="11"/>
  <c r="AZ31" i="11" s="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H17" i="11"/>
  <c r="BL22" i="11"/>
  <c r="AQ12" i="21"/>
  <c r="BI22" i="11"/>
  <c r="BH25" i="11"/>
  <c r="BK10" i="11"/>
  <c r="BI21" i="11"/>
  <c r="T14" i="20"/>
  <c r="BB26" i="13"/>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F16" i="11"/>
  <c r="AQ16" i="11" s="1"/>
  <c r="U13" i="16"/>
  <c r="P13" i="14"/>
  <c r="R13" i="14" s="1"/>
  <c r="R13" i="17"/>
  <c r="BH9" i="16"/>
  <c r="V16" i="11"/>
  <c r="BF13" i="11"/>
  <c r="BG25" i="11"/>
  <c r="BH16" i="16"/>
  <c r="Q18" i="20"/>
  <c r="Q23" i="20" s="1"/>
  <c r="BF28" i="11"/>
  <c r="BF18" i="11"/>
  <c r="BG20" i="11"/>
  <c r="BG22" i="11"/>
  <c r="BK29" i="11"/>
  <c r="AZ19" i="11"/>
  <c r="V12" i="21"/>
  <c r="BK11" i="11"/>
  <c r="AZ18" i="11"/>
  <c r="AP10" i="21"/>
  <c r="AP21" i="20"/>
  <c r="BH20" i="16"/>
  <c r="BJ11" i="11"/>
  <c r="BH22" i="16"/>
  <c r="R10" i="21"/>
  <c r="R14" i="21" s="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V25" i="16"/>
  <c r="L9" i="2"/>
  <c r="AA11" i="16"/>
  <c r="X16" i="16"/>
  <c r="X23" i="16" s="1"/>
  <c r="L18" i="2"/>
  <c r="L17" i="2"/>
  <c r="L16" i="2"/>
  <c r="X21" i="20"/>
  <c r="L28" i="2"/>
  <c r="L10" i="2"/>
  <c r="BH22" i="11"/>
  <c r="BL17" i="11"/>
  <c r="BK22" i="11"/>
  <c r="BJ17" i="11"/>
  <c r="BH12" i="16"/>
  <c r="AO25" i="17"/>
  <c r="BM9" i="11"/>
  <c r="BM21" i="11"/>
  <c r="S18" i="17"/>
  <c r="BH11" i="11"/>
  <c r="BH10" i="16"/>
  <c r="BL10" i="11"/>
  <c r="BL28" i="11"/>
  <c r="BI9" i="11"/>
  <c r="BI20" i="11"/>
  <c r="BG12" i="11"/>
  <c r="AZ17" i="11"/>
  <c r="BV9" i="16"/>
  <c r="BW21" i="20"/>
  <c r="BV29" i="16"/>
  <c r="BW22" i="20"/>
  <c r="BW29" i="20"/>
  <c r="BU20" i="17"/>
  <c r="U13" i="17"/>
  <c r="BU22" i="17"/>
  <c r="BW25" i="20"/>
  <c r="BU10" i="17"/>
  <c r="X20" i="16"/>
  <c r="BW19" i="20"/>
  <c r="BU16" i="17"/>
  <c r="AZ16" i="11"/>
  <c r="AZ23" i="11" s="1"/>
  <c r="BJ25" i="11"/>
  <c r="AO28" i="17"/>
  <c r="BM16" i="11"/>
  <c r="BH18" i="11"/>
  <c r="BL13" i="11"/>
  <c r="BH13" i="11"/>
  <c r="BG16" i="11"/>
  <c r="AP22" i="20"/>
  <c r="BI19" i="11"/>
  <c r="V13" i="11"/>
  <c r="BI25" i="11"/>
  <c r="BK21" i="11"/>
  <c r="BL12" i="11"/>
  <c r="BF17" i="11"/>
  <c r="BF21" i="11"/>
  <c r="BM17" i="11"/>
  <c r="BJ18" i="11"/>
  <c r="BL19" i="11"/>
  <c r="I13" i="14"/>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9" i="12" l="1"/>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<sst xmlns="http://schemas.openxmlformats.org/spreadsheetml/2006/main" count="2682" uniqueCount="1193">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</sst>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5pb25px7alnCmjhNF9GeOVq2F8gl91b1R1D6Y4bK8q0Ed1o4BmAzbXvZIIL+PVpjJwBo5AzErzb82VcGJQM5g==" saltValue="icAv61QPX52MQ7wU97Oh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0</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253</v>
      </c>
      <c r="D17" s="239">
        <f>IF(ISNUMBER(IF(D_I="SI",Datos!I17,Datos!I17+Datos!AC17)),IF(D_I="SI",Datos!I17,Datos!I17+Datos!AC17)," - ")</f>
        <v>253</v>
      </c>
      <c r="E17" s="240">
        <f>IF(ISNUMBER(IF(D_I="SI",Datos!J17,Datos!J17+Datos!AD17)),IF(D_I="SI",Datos!J17,Datos!J17+Datos!AD17)," - ")</f>
        <v>110</v>
      </c>
      <c r="F17" s="240">
        <f>IF(ISNUMBER(IF(D_I="SI",Datos!K17,Datos!K17+Datos!AE17)),IF(D_I="SI",Datos!K17,Datos!K17+Datos!AE17)," - ")</f>
        <v>102</v>
      </c>
      <c r="G17" s="1390" t="str">
        <f>IF(Datos!E17&lt;&gt;"",Datos!E17,Datos!D17)</f>
        <v>04</v>
      </c>
      <c r="H17" s="241">
        <f>IF(ISNUMBER(IF(D_I="SI",Datos!L17,Datos!L17+Datos!AF17)),IF(D_I="SI",Datos!L17,Datos!L17+Datos!AF17)," - ")</f>
        <v>261</v>
      </c>
      <c r="I17" s="1400" t="str">
        <f>IF(ISNUMBER(Datos!AS17/Datos!BM17),Datos!AS17/Datos!BM17," - ")</f>
        <v xml:space="preserve"> - </v>
      </c>
      <c r="J17" s="1401">
        <f>IF(ISNUMBER(Datos!BY17/Datos!CN17),Datos!BY17/Datos!CN17," - ")</f>
        <v>0</v>
      </c>
      <c r="K17" s="244">
        <f t="shared" si="3"/>
        <v>3.1620553359683792E-2</v>
      </c>
      <c r="L17" s="1402">
        <f>IF(ISNUMBER(NºAsuntos!I17/NºAsuntos!G17),(NºAsuntos!I17/NºAsuntos!G17)*11," - ")</f>
        <v>28.147058823529409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1</v>
      </c>
      <c r="F18" s="240">
        <f>IF(ISNUMBER(IF(D_I="SI",Datos!K18,Datos!K18+Datos!AE18)),IF(D_I="SI",Datos!K18,Datos!K18+Datos!AE18)," - ")</f>
        <v>3</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-0.10526315789473684</v>
      </c>
      <c r="L18" s="1402">
        <f>IF(ISNUMBER(NºAsuntos!I18/NºAsuntos!G18),(NºAsuntos!I18/NºAsuntos!G18)*11," - ")</f>
        <v>62.333333333333336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272</v>
      </c>
      <c r="D23" s="1407">
        <f>SUBTOTAL(9,D16:D22)</f>
        <v>272</v>
      </c>
      <c r="E23" s="1408">
        <f>SUBTOTAL(9,E16:E22)</f>
        <v>111</v>
      </c>
      <c r="F23" s="1408">
        <f>SUBTOTAL(9,F16:F22)</f>
        <v>105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274</v>
      </c>
      <c r="D31" s="1435">
        <f>SUBTOTAL(9,D9:D30)</f>
        <v>274</v>
      </c>
      <c r="E31" s="1436">
        <f>SUBTOTAL(9,E9:E30)</f>
        <v>111</v>
      </c>
      <c r="F31" s="1436">
        <f>SUBTOTAL(9,F9:F30)</f>
        <v>105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vZdp3L+dhb08rJRXleRMiyniHo8HZY9us1OjYPOWoKsWC9c5XPNT8I7853SOPcsjE8C5H8fudrQ37eOiwR3KQ==" saltValue="9XISyZuafgbkUA+vqKuw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M1B96kgBSuSw1ZyfZi13uIQetmswICd0oK1fjVxWbfvpWZ3uwxa3el843niC6fQAawkiC8LlN8hMDJM5Uu3BA==" saltValue="yhnOdf5bsd9ty8p6mHCP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0</v>
      </c>
      <c r="K10" s="194">
        <v>0</v>
      </c>
      <c r="L10" s="194">
        <v>2</v>
      </c>
      <c r="M10" s="194">
        <v>0</v>
      </c>
      <c r="N10" s="194">
        <v>0</v>
      </c>
      <c r="O10" s="194">
        <v>0</v>
      </c>
      <c r="P10" s="194">
        <v>0</v>
      </c>
      <c r="Q10" s="194">
        <v>0</v>
      </c>
      <c r="R10" s="194">
        <v>2</v>
      </c>
      <c r="S10" s="194">
        <v>2</v>
      </c>
      <c r="T10" s="194">
        <v>1</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271</v>
      </c>
      <c r="J12" s="196">
        <v>171</v>
      </c>
      <c r="K12" s="196">
        <v>79</v>
      </c>
      <c r="L12" s="196">
        <v>371</v>
      </c>
      <c r="M12" s="196">
        <v>5</v>
      </c>
      <c r="N12" s="196">
        <v>1</v>
      </c>
      <c r="O12" s="194">
        <v>0</v>
      </c>
      <c r="P12" s="196">
        <v>42</v>
      </c>
      <c r="Q12" s="196">
        <v>23</v>
      </c>
      <c r="R12" s="196">
        <v>517</v>
      </c>
      <c r="S12" s="196">
        <v>270</v>
      </c>
      <c r="T12" s="196">
        <v>138</v>
      </c>
      <c r="U12" s="196">
        <v>115</v>
      </c>
      <c r="V12" s="196">
        <v>293</v>
      </c>
      <c r="W12" s="196">
        <v>23</v>
      </c>
      <c r="X12" s="202">
        <v>53</v>
      </c>
      <c r="Y12" s="204">
        <v>11</v>
      </c>
      <c r="Z12" s="194">
        <v>3</v>
      </c>
      <c r="AA12" s="194">
        <v>1</v>
      </c>
      <c r="AB12" s="194">
        <v>5</v>
      </c>
      <c r="AC12" s="196">
        <v>0</v>
      </c>
      <c r="AD12" s="196">
        <v>0</v>
      </c>
      <c r="AE12" s="196">
        <v>0</v>
      </c>
      <c r="AF12" s="202">
        <v>0</v>
      </c>
      <c r="AG12" s="215">
        <v>89</v>
      </c>
      <c r="AH12" s="196">
        <v>18</v>
      </c>
      <c r="AI12" s="196">
        <v>11</v>
      </c>
      <c r="AJ12" s="216">
        <v>96</v>
      </c>
      <c r="AK12" s="195">
        <v>0</v>
      </c>
      <c r="AL12" s="196">
        <v>0</v>
      </c>
      <c r="AM12" s="196">
        <v>0</v>
      </c>
      <c r="AN12" s="202">
        <v>0</v>
      </c>
      <c r="AO12" s="283">
        <v>1</v>
      </c>
      <c r="AP12" s="168">
        <v>1</v>
      </c>
      <c r="AQ12" s="168">
        <v>1</v>
      </c>
      <c r="AR12" s="167">
        <v>1</v>
      </c>
      <c r="AS12" s="381" t="s">
        <v>1075</v>
      </c>
      <c r="AT12" s="216"/>
      <c r="AU12" s="215"/>
      <c r="AV12" s="216"/>
      <c r="AW12" s="215"/>
      <c r="AX12" s="216"/>
      <c r="AY12" s="136">
        <f t="shared" si="1"/>
        <v>359</v>
      </c>
      <c r="AZ12" s="137">
        <f t="shared" si="1"/>
        <v>156</v>
      </c>
      <c r="BA12" s="137">
        <f t="shared" si="1"/>
        <v>126</v>
      </c>
      <c r="BB12" s="137">
        <f t="shared" si="1"/>
        <v>389</v>
      </c>
      <c r="BC12" s="135">
        <f>IF(ISNUMBER(X12),X12," - ")</f>
        <v>53</v>
      </c>
      <c r="BD12" s="136">
        <f t="shared" si="2"/>
        <v>0.80769230769230771</v>
      </c>
      <c r="BE12" s="137">
        <f t="shared" si="3"/>
        <v>3.0873015873015874</v>
      </c>
      <c r="BF12" s="137">
        <f t="shared" si="4"/>
        <v>0.42063492063492064</v>
      </c>
      <c r="BG12" s="209">
        <f t="shared" si="5"/>
        <v>4.087301587301587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273</v>
      </c>
      <c r="J14" s="197">
        <f t="shared" si="7"/>
        <v>171</v>
      </c>
      <c r="K14" s="197">
        <f t="shared" si="7"/>
        <v>79</v>
      </c>
      <c r="L14" s="197">
        <f t="shared" si="7"/>
        <v>373</v>
      </c>
      <c r="M14" s="197">
        <f t="shared" si="7"/>
        <v>5</v>
      </c>
      <c r="N14" s="197">
        <f t="shared" si="7"/>
        <v>1</v>
      </c>
      <c r="O14" s="197">
        <f t="shared" si="7"/>
        <v>0</v>
      </c>
      <c r="P14" s="197">
        <f t="shared" si="7"/>
        <v>42</v>
      </c>
      <c r="Q14" s="197">
        <f t="shared" si="7"/>
        <v>23</v>
      </c>
      <c r="R14" s="197">
        <f t="shared" si="7"/>
        <v>519</v>
      </c>
      <c r="S14" s="197">
        <f t="shared" si="7"/>
        <v>272</v>
      </c>
      <c r="T14" s="197">
        <f t="shared" si="7"/>
        <v>139</v>
      </c>
      <c r="U14" s="197">
        <f t="shared" si="7"/>
        <v>116</v>
      </c>
      <c r="V14" s="197">
        <f t="shared" si="7"/>
        <v>295</v>
      </c>
      <c r="W14" s="197">
        <f t="shared" si="7"/>
        <v>23</v>
      </c>
      <c r="X14" s="197">
        <f t="shared" si="7"/>
        <v>54</v>
      </c>
      <c r="Y14" s="197">
        <f t="shared" si="7"/>
        <v>11</v>
      </c>
      <c r="Z14" s="197">
        <f t="shared" si="7"/>
        <v>3</v>
      </c>
      <c r="AA14" s="197">
        <f t="shared" si="7"/>
        <v>1</v>
      </c>
      <c r="AB14" s="197">
        <f t="shared" si="7"/>
        <v>5</v>
      </c>
      <c r="AC14" s="197">
        <f t="shared" si="7"/>
        <v>0</v>
      </c>
      <c r="AD14" s="197">
        <f t="shared" si="7"/>
        <v>0</v>
      </c>
      <c r="AE14" s="197">
        <f t="shared" si="7"/>
        <v>0</v>
      </c>
      <c r="AF14" s="197">
        <f>SUBTOTAL(9,AF9:AF13)</f>
        <v>0</v>
      </c>
      <c r="AG14" s="197">
        <f t="shared" ref="AG14:AT14" si="8">SUBTOTAL(9,AG8:AG13)</f>
        <v>89</v>
      </c>
      <c r="AH14" s="197">
        <f t="shared" si="8"/>
        <v>18</v>
      </c>
      <c r="AI14" s="197">
        <f t="shared" si="8"/>
        <v>11</v>
      </c>
      <c r="AJ14" s="197">
        <f t="shared" si="8"/>
        <v>96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361</v>
      </c>
      <c r="AZ14" s="197">
        <f>SUBTOTAL(9,AZ8:AZ13)</f>
        <v>157</v>
      </c>
      <c r="BA14" s="197">
        <f>SUBTOTAL(9,BA8:BA13)</f>
        <v>127</v>
      </c>
      <c r="BB14" s="197">
        <f>SUBTOTAL(9,BB8:BB13)</f>
        <v>391</v>
      </c>
      <c r="BC14" s="197">
        <f>SUBTOTAL(9,BC8:BC13)</f>
        <v>53</v>
      </c>
      <c r="BD14" s="219">
        <f>IF(ISNUMBER(BA14/AZ14),BA14/AZ14," - ")</f>
        <v>0.80891719745222934</v>
      </c>
      <c r="BE14" s="220">
        <f>IF(ISNUMBER(BB14/BA14),BB14/BA14, " - ")</f>
        <v>3.0787401574803148</v>
      </c>
      <c r="BF14" s="220">
        <f>IF(ISNUMBER(BC14/BA14),BC14/BA14, " - ")</f>
        <v>0.41732283464566927</v>
      </c>
      <c r="BG14" s="221">
        <f>IF(ISNUMBER((AY14+AZ14)/BA14),(AY14+AZ14)/BA14," - ")</f>
        <v>4.0787401574803148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253</v>
      </c>
      <c r="J17" s="196">
        <v>110</v>
      </c>
      <c r="K17" s="196">
        <v>102</v>
      </c>
      <c r="L17" s="196">
        <v>261</v>
      </c>
      <c r="M17" s="196">
        <v>11</v>
      </c>
      <c r="N17" s="196">
        <v>41</v>
      </c>
      <c r="O17" s="194">
        <v>0</v>
      </c>
      <c r="P17" s="196">
        <v>5</v>
      </c>
      <c r="Q17" s="196">
        <v>9</v>
      </c>
      <c r="R17" s="196">
        <v>24</v>
      </c>
      <c r="S17" s="196">
        <v>390</v>
      </c>
      <c r="T17" s="196">
        <v>72</v>
      </c>
      <c r="U17" s="196">
        <v>136</v>
      </c>
      <c r="V17" s="196">
        <v>324</v>
      </c>
      <c r="W17" s="196">
        <v>18</v>
      </c>
      <c r="X17" s="202">
        <v>95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390</v>
      </c>
      <c r="AZ17" s="137">
        <f t="shared" si="10"/>
        <v>72</v>
      </c>
      <c r="BA17" s="137">
        <f t="shared" si="10"/>
        <v>136</v>
      </c>
      <c r="BB17" s="137">
        <f t="shared" si="10"/>
        <v>324</v>
      </c>
      <c r="BC17" s="135">
        <f>IF(ISNUMBER(W17),W17," - ")</f>
        <v>18</v>
      </c>
      <c r="BD17" s="136">
        <f t="shared" ref="BD17:BD22" si="12">IF(ISNUMBER(BA17/AZ17),BA17/AZ17," - ")</f>
        <v>1.8888888888888888</v>
      </c>
      <c r="BE17" s="137">
        <f t="shared" ref="BE17:BE22" si="13">IF(ISNUMBER(BB17/BA17),BB17/BA17, " - ")</f>
        <v>2.3823529411764706</v>
      </c>
      <c r="BF17" s="137">
        <f t="shared" ref="BF17:BF22" si="14">IF(ISNUMBER(BC17/BA17),BC17/BA17, " - ")</f>
        <v>0.13235294117647059</v>
      </c>
      <c r="BG17" s="209">
        <f t="shared" si="11"/>
        <v>3.3970588235294117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1</v>
      </c>
      <c r="K18" s="196">
        <v>3</v>
      </c>
      <c r="L18" s="196">
        <v>17</v>
      </c>
      <c r="M18" s="196">
        <v>0</v>
      </c>
      <c r="N18" s="196">
        <v>1</v>
      </c>
      <c r="O18" s="196">
        <v>0</v>
      </c>
      <c r="P18" s="196">
        <v>0</v>
      </c>
      <c r="Q18" s="196">
        <v>0</v>
      </c>
      <c r="R18" s="196">
        <v>0</v>
      </c>
      <c r="S18" s="196">
        <v>10</v>
      </c>
      <c r="T18" s="196">
        <v>5</v>
      </c>
      <c r="U18" s="196">
        <v>2</v>
      </c>
      <c r="V18" s="196">
        <v>13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5</v>
      </c>
      <c r="BA18" s="139">
        <f t="shared" si="15"/>
        <v>2</v>
      </c>
      <c r="BB18" s="139">
        <f t="shared" si="15"/>
        <v>13</v>
      </c>
      <c r="BC18" s="135">
        <f>IF(ISNUMBER(W18),W18," - ")</f>
        <v>0</v>
      </c>
      <c r="BD18" s="136">
        <f>IF(ISNUMBER(BA18/AZ18),BA18/AZ18," - ")</f>
        <v>0.4</v>
      </c>
      <c r="BE18" s="137">
        <f>IF(ISNUMBER(BB18/BA18),BB18/BA18, " - ")</f>
        <v>6.5</v>
      </c>
      <c r="BF18" s="137">
        <f>IF(ISNUMBER(BC18/BA18),BC18/BA18, " - ")</f>
        <v>0</v>
      </c>
      <c r="BG18" s="209">
        <f>IF(ISNUMBER((AY18+AZ18)/BA18),(AY18+AZ18)/BA18," - ")</f>
        <v>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272</v>
      </c>
      <c r="J23" s="197">
        <f t="shared" si="21"/>
        <v>111</v>
      </c>
      <c r="K23" s="197">
        <f t="shared" si="21"/>
        <v>105</v>
      </c>
      <c r="L23" s="197">
        <f t="shared" si="21"/>
        <v>278</v>
      </c>
      <c r="M23" s="197">
        <f t="shared" si="21"/>
        <v>11</v>
      </c>
      <c r="N23" s="197">
        <f t="shared" si="21"/>
        <v>42</v>
      </c>
      <c r="O23" s="197">
        <f t="shared" si="21"/>
        <v>0</v>
      </c>
      <c r="P23" s="197">
        <f t="shared" si="21"/>
        <v>5</v>
      </c>
      <c r="Q23" s="197">
        <f t="shared" si="21"/>
        <v>9</v>
      </c>
      <c r="R23" s="197">
        <f t="shared" si="21"/>
        <v>24</v>
      </c>
      <c r="S23" s="197">
        <f t="shared" si="21"/>
        <v>400</v>
      </c>
      <c r="T23" s="197">
        <f t="shared" si="21"/>
        <v>77</v>
      </c>
      <c r="U23" s="197">
        <f t="shared" si="21"/>
        <v>138</v>
      </c>
      <c r="V23" s="197">
        <f t="shared" si="21"/>
        <v>337</v>
      </c>
      <c r="W23" s="197">
        <f t="shared" si="21"/>
        <v>18</v>
      </c>
      <c r="X23" s="197">
        <f t="shared" si="21"/>
        <v>99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400</v>
      </c>
      <c r="AZ23" s="197">
        <f>SUBTOTAL(9,AZ15:AZ22)</f>
        <v>77</v>
      </c>
      <c r="BA23" s="197">
        <f>SUBTOTAL(9,BA15:BA22)</f>
        <v>138</v>
      </c>
      <c r="BB23" s="197">
        <f>SUBTOTAL(9,BB15:BB22)</f>
        <v>337</v>
      </c>
      <c r="BC23" s="197">
        <f>SUBTOTAL(9,BC15:BC22)</f>
        <v>18</v>
      </c>
      <c r="BD23" s="219">
        <f>IF(ISNUMBER(BA23/AZ23),BA23/AZ23," - ")</f>
        <v>1.7922077922077921</v>
      </c>
      <c r="BE23" s="220">
        <f>IF(ISNUMBER(BB23/BA23),BB23/BA23, " - ")</f>
        <v>2.4420289855072466</v>
      </c>
      <c r="BF23" s="220">
        <f>IF(ISNUMBER(BC23/BA23),BC23/BA23, " - ")</f>
        <v>0.13043478260869565</v>
      </c>
      <c r="BG23" s="221">
        <f>IF(ISNUMBER((AY23+AZ23)/BA23),(AY23+AZ23)/BA23," - ")</f>
        <v>3.4565217391304346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545</v>
      </c>
      <c r="J31" s="144">
        <f t="shared" si="36"/>
        <v>282</v>
      </c>
      <c r="K31" s="144">
        <f t="shared" si="36"/>
        <v>184</v>
      </c>
      <c r="L31" s="144">
        <f t="shared" si="36"/>
        <v>651</v>
      </c>
      <c r="M31" s="144">
        <f t="shared" si="36"/>
        <v>16</v>
      </c>
      <c r="N31" s="144">
        <f t="shared" si="36"/>
        <v>43</v>
      </c>
      <c r="O31" s="144">
        <f t="shared" si="36"/>
        <v>0</v>
      </c>
      <c r="P31" s="144">
        <f t="shared" si="36"/>
        <v>47</v>
      </c>
      <c r="Q31" s="144">
        <f t="shared" si="36"/>
        <v>32</v>
      </c>
      <c r="R31" s="144">
        <f t="shared" si="36"/>
        <v>543</v>
      </c>
      <c r="S31" s="144">
        <f t="shared" si="36"/>
        <v>672</v>
      </c>
      <c r="T31" s="144">
        <f t="shared" si="36"/>
        <v>216</v>
      </c>
      <c r="U31" s="144">
        <f t="shared" si="36"/>
        <v>254</v>
      </c>
      <c r="V31" s="144">
        <f t="shared" si="36"/>
        <v>632</v>
      </c>
      <c r="W31" s="144">
        <f t="shared" si="36"/>
        <v>41</v>
      </c>
      <c r="X31" s="144">
        <f t="shared" si="36"/>
        <v>153</v>
      </c>
      <c r="Y31" s="144">
        <f t="shared" si="36"/>
        <v>11</v>
      </c>
      <c r="Z31" s="144">
        <f t="shared" si="36"/>
        <v>3</v>
      </c>
      <c r="AA31" s="144">
        <f t="shared" si="36"/>
        <v>1</v>
      </c>
      <c r="AB31" s="144">
        <f t="shared" si="36"/>
        <v>5</v>
      </c>
      <c r="AC31" s="144">
        <f t="shared" si="36"/>
        <v>0</v>
      </c>
      <c r="AD31" s="144">
        <f t="shared" si="36"/>
        <v>0</v>
      </c>
      <c r="AE31" s="144">
        <f t="shared" si="36"/>
        <v>0</v>
      </c>
      <c r="AF31" s="144">
        <f t="shared" si="36"/>
        <v>0</v>
      </c>
      <c r="AG31" s="144">
        <f t="shared" si="36"/>
        <v>89</v>
      </c>
      <c r="AH31" s="144">
        <f t="shared" si="36"/>
        <v>18</v>
      </c>
      <c r="AI31" s="144">
        <f t="shared" si="36"/>
        <v>11</v>
      </c>
      <c r="AJ31" s="144">
        <f t="shared" si="36"/>
        <v>96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761</v>
      </c>
      <c r="AZ31" s="144">
        <f>SUBTOTAL(9,AZ9:AZ30)</f>
        <v>234</v>
      </c>
      <c r="BA31" s="144">
        <f>SUBTOTAL(9,BA9:BA30)</f>
        <v>265</v>
      </c>
      <c r="BB31" s="144">
        <f>SUBTOTAL(9,BB9:BB30)</f>
        <v>728</v>
      </c>
      <c r="BC31" s="145">
        <f>SUBTOTAL(9,BC9:BC30)</f>
        <v>71</v>
      </c>
      <c r="BD31" s="227">
        <f>IF(ISNUMBER(BA31/AZ31),BA31/AZ31," - ")</f>
        <v>1.1324786324786325</v>
      </c>
      <c r="BE31" s="224">
        <f>IF(ISNUMBER(BB31/BA31),BB31/BA31, " - ")</f>
        <v>2.7471698113207546</v>
      </c>
      <c r="BF31" s="224">
        <f>IF(ISNUMBER(BC31/BA31),BC31/BA31, " - ")</f>
        <v>0.26792452830188679</v>
      </c>
      <c r="BG31" s="145">
        <f>IF(ISNUMBER((AY31+AZ31)/BA31),(AY31+AZ31)/BA31," - ")</f>
        <v>3.7547169811320753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VwbpFpnxzeeRJffcNAIRlW6vSKjMY3Ou1eauC71pbxclLiUHi+oWCUa4a876Q9dQn1gfpGGxnKF3TO7eaStg==" saltValue="o1TKh5S6j9ol3AX+GZmpP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kv0fu7+FIXb9qbfmthuUFnWZdxUcjp0J7/aGJ9n0IlRa/xGC5nLL/NwSPGf0BDHpXQNv+0IyRiR/s6XZHRNA==" saltValue="TUNVbog9uMgm3Scl6ECy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517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v>
      </c>
      <c r="BD12" s="693">
        <f>IF(ISNUMBER(Datos!N12),Datos!N12," - ")</f>
        <v>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0.45977011494252873</v>
      </c>
      <c r="BH12" s="764">
        <f>IF(ISNUMBER(((IF(J_V="SI",Datos!L12/Datos!K12,(Datos!L12+Datos!AB12)/(Datos!K12+Datos!AA12)))*11)/factor_trimestre),((IF(J_V="SI",Datos!L12/Datos!K12,(Datos!L12+Datos!AB12)/(Datos!K12+Datos!AA12)))*11)/factor_trimestre," - ")</f>
        <v>14.100000000000001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3.8152610441767071E-2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23</v>
      </c>
      <c r="AD14" s="1198">
        <f t="shared" si="2"/>
        <v>0</v>
      </c>
      <c r="AE14" s="1198">
        <f t="shared" si="2"/>
        <v>0</v>
      </c>
      <c r="AF14" s="1198">
        <f t="shared" si="2"/>
        <v>2</v>
      </c>
      <c r="AG14" s="1198">
        <f t="shared" si="2"/>
        <v>0</v>
      </c>
      <c r="AH14" s="1198">
        <f t="shared" si="2"/>
        <v>5</v>
      </c>
      <c r="AI14" s="1198">
        <f t="shared" si="2"/>
        <v>0</v>
      </c>
      <c r="AJ14" s="1198">
        <f t="shared" si="2"/>
        <v>0</v>
      </c>
      <c r="AK14" s="1198">
        <f t="shared" si="2"/>
        <v>0</v>
      </c>
      <c r="AL14" s="1198">
        <f t="shared" si="2"/>
        <v>0</v>
      </c>
      <c r="AM14" s="1198">
        <f t="shared" si="2"/>
        <v>519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v>
      </c>
      <c r="BD14" s="1198">
        <f t="shared" si="2"/>
        <v>1</v>
      </c>
      <c r="BE14" s="1198">
        <f t="shared" si="2"/>
        <v>0</v>
      </c>
      <c r="BF14" s="1198">
        <f t="shared" si="2"/>
        <v>0</v>
      </c>
      <c r="BG14" s="1198">
        <f>IF(ISNUMBER(Datos!K14/Datos!J14),Datos!K14/Datos!J14," - ")</f>
        <v>0.46198830409356723</v>
      </c>
      <c r="BH14" s="1202">
        <f>IF(ISNUMBER(((Datos!L14/Datos!K14)*11)/factor_trimestre),((Datos!L14/Datos!K14)*11)/factor_trimestre," - ")</f>
        <v>14.164556962025317</v>
      </c>
      <c r="BI14" s="1198">
        <f>IF(ISNUMBER('Resol  Asuntos'!D14/NºAsuntos!G14),'Resol  Asuntos'!D14/NºAsuntos!G14," - ")</f>
        <v>6.25E-2</v>
      </c>
      <c r="BJ14" s="1198" t="str">
        <f>IF(ISNUMBER(Datos!CI14/Datos!CJ14),Datos!CI14/Datos!CJ14," - ")</f>
        <v xml:space="preserve"> - </v>
      </c>
      <c r="BK14" s="1198">
        <f>SUBTOTAL(9,BK8:BK13)</f>
        <v>0</v>
      </c>
      <c r="BL14" s="1198">
        <f>IF(ISNUMBER((I14-AB14+L14)/(F14)),(I14-AB14+L14)/(F14)," - ")</f>
        <v>0</v>
      </c>
      <c r="BM14" s="1203">
        <f>SUBTOTAL(9,BM9:BM13)</f>
        <v>3.8152610441767071E-2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253</v>
      </c>
      <c r="G17" s="743">
        <f>IF(ISNUMBER(IF(D_I="SI",Datos!I17,Datos!I17+Datos!AC17)),IF(D_I="SI",Datos!I17,Datos!I17+Datos!AC17)," - ")</f>
        <v>253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102</v>
      </c>
      <c r="AC17" s="240">
        <f>IF(ISNUMBER(Datos!Q17),Datos!Q17," - ")</f>
        <v>9</v>
      </c>
      <c r="AD17" s="374"/>
      <c r="AE17" s="562"/>
      <c r="AF17" s="741">
        <f>IF(ISNUMBER(IF(D_I="SI",Datos!L17,Datos!L17+Datos!AF17)),IF(D_I="SI",Datos!L17,Datos!L17+Datos!AF17)," - ")</f>
        <v>261</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0.92727272727272725</v>
      </c>
      <c r="BH17" s="764">
        <f>IF(ISNUMBER(((IF(D_I="SI",Datos!L17/Datos!K17,(Datos!L17+Datos!AF17)/(Datos!K17+Datos!AE17)))*11)/factor_trimestre),((IF(D_I="SI",Datos!L17/Datos!K17,(Datos!L17+Datos!AF17)/(Datos!K17+Datos!AE17)))*11)/factor_trimestre," - ")</f>
        <v>7.6764705882352935</v>
      </c>
      <c r="BI17" s="266">
        <f>IF(ISNUMBER('Resol  Asuntos'!D17/NºAsuntos!G17),'Resol  Asuntos'!D17/NºAsuntos!G17," - ")</f>
        <v>0.10784313725490197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3</v>
      </c>
      <c r="BH18" s="764">
        <f>IF(ISNUMBER(((IF(D_I="SI",Datos!L18/Datos!K18,(Datos!L18+Datos!AF18)/(Datos!K18+Datos!AE18)))*11)/factor_trimestre),((IF(D_I="SI",Datos!L18/Datos!K18,(Datos!L18+Datos!AF18)/(Datos!K18+Datos!AE18)))*11)/factor_trimestre," - ")</f>
        <v>17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253</v>
      </c>
      <c r="G23" s="1197">
        <f>SUBTOTAL(9,G16:G22)</f>
        <v>272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105</v>
      </c>
      <c r="AC23" s="1198">
        <f t="shared" si="5"/>
        <v>9</v>
      </c>
      <c r="AD23" s="1198">
        <f t="shared" si="5"/>
        <v>0</v>
      </c>
      <c r="AE23" s="1198">
        <f t="shared" si="5"/>
        <v>0</v>
      </c>
      <c r="AF23" s="1198">
        <f t="shared" si="5"/>
        <v>278</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42</v>
      </c>
      <c r="BE23" s="1198">
        <f t="shared" si="5"/>
        <v>0</v>
      </c>
      <c r="BF23" s="1198">
        <f t="shared" si="5"/>
        <v>0</v>
      </c>
      <c r="BG23" s="1198">
        <f>IF(ISNUMBER(Datos!K23/Datos!J23),Datos!K23/Datos!J23," - ")</f>
        <v>0.94594594594594594</v>
      </c>
      <c r="BH23" s="1202">
        <f>IF(ISNUMBER(((Datos!L23/Datos!K23)*11)/factor_trimestre),((Datos!L23/Datos!K23)*11)/factor_trimestre," - ")</f>
        <v>7.9428571428571431</v>
      </c>
      <c r="BI23" s="1198">
        <f>SUBTOTAL(9,BI16:BI22)</f>
        <v>0.10784313725490197</v>
      </c>
      <c r="BJ23" s="1198">
        <f>SUBTOTAL(9,BJ16:BJ22)</f>
        <v>0</v>
      </c>
      <c r="BK23" s="1198">
        <f>SUBTOTAL(9,BK16:BK22)</f>
        <v>0</v>
      </c>
      <c r="BL23" s="1198">
        <f>IF(ISNUMBER((I23-AB23+L23)/(F23)),(I23-AB23+L23)/(F23)," - ")</f>
        <v>-0.41501976284584979</v>
      </c>
      <c r="BM23" s="1205">
        <f>IF(ISNUMBER((Datos!P23-Datos!Q23)/(Datos!R23-Datos!P23+Datos!Q23)),(Datos!P23-Datos!Q23)/(Datos!R23-Datos!P23+Datos!Q23)," - ")</f>
        <v>-0.14285714285714285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255</v>
      </c>
      <c r="G31" s="1117">
        <f t="shared" si="18"/>
        <v>274</v>
      </c>
      <c r="H31" s="1119">
        <f t="shared" si="18"/>
        <v>0</v>
      </c>
      <c r="I31" s="1117">
        <f t="shared" si="18"/>
        <v>0</v>
      </c>
      <c r="J31" s="1119">
        <f t="shared" si="18"/>
        <v>0</v>
      </c>
      <c r="K31" s="1119">
        <f t="shared" si="18"/>
        <v>0</v>
      </c>
      <c r="L31" s="1180">
        <f t="shared" si="18"/>
        <v>0</v>
      </c>
      <c r="M31" s="1180">
        <f t="shared" si="18"/>
        <v>0</v>
      </c>
      <c r="N31" s="1180">
        <f t="shared" si="18"/>
        <v>3</v>
      </c>
      <c r="O31" s="1180">
        <f t="shared" si="18"/>
        <v>0</v>
      </c>
      <c r="P31" s="1180">
        <f t="shared" si="18"/>
        <v>0</v>
      </c>
      <c r="Q31" s="1119">
        <f t="shared" si="18"/>
        <v>47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105</v>
      </c>
      <c r="AC31" s="1118">
        <f t="shared" si="19"/>
        <v>32</v>
      </c>
      <c r="AD31" s="1118">
        <f t="shared" si="19"/>
        <v>0</v>
      </c>
      <c r="AE31" s="1118">
        <f t="shared" si="19"/>
        <v>0</v>
      </c>
      <c r="AF31" s="1125">
        <f t="shared" si="19"/>
        <v>280</v>
      </c>
      <c r="AG31" s="1125">
        <f t="shared" si="19"/>
        <v>0</v>
      </c>
      <c r="AH31" s="1125">
        <f t="shared" si="19"/>
        <v>5</v>
      </c>
      <c r="AI31" s="1125">
        <f t="shared" si="19"/>
        <v>0</v>
      </c>
      <c r="AJ31" s="1118">
        <f t="shared" si="19"/>
        <v>0</v>
      </c>
      <c r="AK31" s="1125">
        <f t="shared" si="19"/>
        <v>0</v>
      </c>
      <c r="AL31" s="1125">
        <f t="shared" si="19"/>
        <v>0</v>
      </c>
      <c r="AM31" s="1125">
        <f t="shared" si="19"/>
        <v>543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v>
      </c>
      <c r="BD31" s="1117">
        <f t="shared" si="19"/>
        <v>43</v>
      </c>
      <c r="BE31" s="1117">
        <f t="shared" si="19"/>
        <v>0</v>
      </c>
      <c r="BF31" s="1127">
        <f t="shared" si="19"/>
        <v>0</v>
      </c>
      <c r="BG31" s="1223">
        <f>IF(ISNUMBER(Datos!K31/Datos!J31),Datos!K31/Datos!J31," - ")</f>
        <v>0.65248226950354615</v>
      </c>
      <c r="BH31" s="1223">
        <f>IF(ISNUMBER(((Datos!L31/Datos!K31)*11)/factor_trimestre),((Datos!L31/Datos!K31)*11)/factor_trimestre," - ")</f>
        <v>10.614130434782609</v>
      </c>
      <c r="BI31" s="1103">
        <f>IF(ISNUMBER(Datos!J31/Datos!I31),Datos!J31/Datos!I31," - ")</f>
        <v>0.51743119266055049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-0.41176470588235292</v>
      </c>
      <c r="BM31" s="1188">
        <f>IF(ISNUMBER((Datos!P31-Datos!Q31+R31)/(Datos!R31-Datos!P31+Datos!Q31-R31)),(Datos!P31-Datos!Q31+R31)/(Datos!R31-Datos!P31+Datos!Q31-R31)," - ")</f>
        <v>2.8409090909090908E-2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78.285714285714292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130.13531419257419</v>
      </c>
      <c r="G33" s="674">
        <f>IF(ISNUMBER(STDEV(G8:G30)),STDEV(G8:G30),"-")</f>
        <v>126.13579228449828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50.229473419497438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4.8403069560278329</v>
      </c>
      <c r="BD33" s="673"/>
      <c r="BE33" s="673">
        <f>IF(ISNUMBER(STDEV(BE8:BE30)),STDEV(BE8:BE30),"-")</f>
        <v>0</v>
      </c>
      <c r="BF33" s="678">
        <f>IF(ISNUMBER(STDEV(BF8:BF30)),STDEV(BF8:BF30),"-")</f>
        <v>0</v>
      </c>
      <c r="BG33" s="1052">
        <f>IF(ISNUMBER(STDEV(BG8:BG30)),STDEV(BG8:BG30),"-")</f>
        <v>1.0563046784850221</v>
      </c>
      <c r="BH33" s="1058">
        <f>IF(ISNUMBER(STDEV(BH8:BH30)),STDEV(BH8:BH30),"-")</f>
        <v>4.1560910465654617</v>
      </c>
      <c r="BI33" s="273">
        <f>IF(ISNUMBER(STDEV(BI8:BI30)),STDEV(BI8:BI30),"-")</f>
        <v>5.1054329475400527E-2</v>
      </c>
      <c r="BJ33" s="244" t="str">
        <f>IF(ISNUMBER(BL33/BM33),BL33/BM33," - ")</f>
        <v xml:space="preserve"> - </v>
      </c>
      <c r="BK33" s="709"/>
      <c r="BL33" s="681">
        <f>IF(ISNUMBER(STDEV(BL8:BL30)),STDEV(BL8:BL30),"-")</f>
        <v>0.29346328863473314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manv7V9TgR4h8LTCVY9xFyKQOuB7ilJetMhMQEOWRHHDZLh/Y2ON2+0bAmPK8MwpeDGy5B3YXSiiXN5CzeovqQ==" saltValue="Rqt4/fqez4OoNo1ezfMV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517</v>
      </c>
      <c r="AF12" s="693" t="str">
        <f>IF(ISNUMBER(Datos!BV12),Datos!BV12," - ")</f>
        <v xml:space="preserve"> - </v>
      </c>
      <c r="AG12" s="552" t="str">
        <f>IF(ISNUMBER(Datos!DV12),Datos!DV12," - ")</f>
        <v xml:space="preserve"> - </v>
      </c>
      <c r="AH12" s="553"/>
      <c r="AI12" s="554"/>
      <c r="AJ12" s="552">
        <f>IF(ISNUMBER(Datos!M12),Datos!M12," - ")</f>
        <v>5</v>
      </c>
      <c r="AK12" s="693">
        <f>IF(ISNUMBER(Datos!N12),Datos!N12," - ")</f>
        <v>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14.100000000000001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3.8152610441767071E-2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23</v>
      </c>
      <c r="AA14" s="1199">
        <f t="shared" si="3"/>
        <v>2</v>
      </c>
      <c r="AB14" s="1199">
        <f t="shared" si="3"/>
        <v>0</v>
      </c>
      <c r="AC14" s="1199">
        <f t="shared" si="3"/>
        <v>0</v>
      </c>
      <c r="AD14" s="1199">
        <f t="shared" si="3"/>
        <v>0</v>
      </c>
      <c r="AE14" s="1199">
        <f t="shared" si="3"/>
        <v>519</v>
      </c>
      <c r="AF14" s="1211">
        <f t="shared" si="3"/>
        <v>0</v>
      </c>
      <c r="AG14" s="1211">
        <f t="shared" si="3"/>
        <v>0</v>
      </c>
      <c r="AH14" s="1211">
        <f t="shared" si="3"/>
        <v>0</v>
      </c>
      <c r="AI14" s="1211">
        <f t="shared" si="3"/>
        <v>0</v>
      </c>
      <c r="AJ14" s="1211">
        <f t="shared" si="3"/>
        <v>5</v>
      </c>
      <c r="AK14" s="1211">
        <f t="shared" si="3"/>
        <v>1</v>
      </c>
      <c r="AL14" s="1211">
        <f t="shared" si="3"/>
        <v>0</v>
      </c>
      <c r="AM14" s="1211">
        <f t="shared" si="3"/>
        <v>0</v>
      </c>
      <c r="AN14" s="1211">
        <f t="shared" si="3"/>
        <v>0</v>
      </c>
      <c r="AO14" s="1203">
        <f>IF(ISNUMBER(((NºAsuntos!I14/NºAsuntos!G14)*11)/factor_trimestre),((NºAsuntos!I14/NºAsuntos!G14)*11)/factor_trimestre," - ")</f>
        <v>14.174999999999999</v>
      </c>
      <c r="AP14" s="1213" t="str">
        <f>IF(ISNUMBER(Datos!CI14/Datos!CJ14),Datos!CI14/Datos!CJ14," - ")</f>
        <v xml:space="preserve"> - </v>
      </c>
      <c r="AQ14" s="1236">
        <f t="shared" ref="AQ14:AV14" si="4">SUBTOTAL(9,AQ9:AQ13)</f>
        <v>0</v>
      </c>
      <c r="AR14" s="1236">
        <f t="shared" si="4"/>
        <v>3.8152610441767071E-2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253</v>
      </c>
      <c r="G17" s="552">
        <f>IF(ISNUMBER(IF(D_I="SI",Datos!I17,Datos!I17+Datos!AC17)),IF(D_I="SI",Datos!I17,Datos!I17+Datos!AC17)," - ")</f>
        <v>253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102</v>
      </c>
      <c r="Z17" s="805">
        <f>IF(ISNUMBER(Datos!Q17),Datos!Q17," - ")</f>
        <v>9</v>
      </c>
      <c r="AA17" s="551">
        <f>IF(ISNUMBER(IF(D_I="SI",Datos!L17,Datos!L17+Datos!AF17)),IF(D_I="SI",Datos!L17,Datos!L17+Datos!AF17)," - ")</f>
        <v>261</v>
      </c>
      <c r="AB17" s="549"/>
      <c r="AC17" s="549"/>
      <c r="AD17" s="563"/>
      <c r="AE17" s="563">
        <f>IF(ISNUMBER(Datos!R17),Datos!R17," - ")</f>
        <v>24</v>
      </c>
      <c r="AF17" s="693" t="str">
        <f>IF(ISNUMBER(Datos!BV17),Datos!BV17," - ")</f>
        <v xml:space="preserve"> - </v>
      </c>
      <c r="AG17" s="552"/>
      <c r="AH17" s="553"/>
      <c r="AI17" s="554"/>
      <c r="AJ17" s="552">
        <f>IF(ISNUMBER(Datos!M17),Datos!M17," - ")</f>
        <v>11</v>
      </c>
      <c r="AK17" s="693">
        <f>IF(ISNUMBER(Datos!N17),Datos!N17," - ")</f>
        <v>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7.6764705882352935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253</v>
      </c>
      <c r="G23" s="1197">
        <f>SUBTOTAL(9,G16:G22)</f>
        <v>272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105</v>
      </c>
      <c r="Z23" s="1240">
        <f t="shared" si="6"/>
        <v>9</v>
      </c>
      <c r="AA23" s="1240">
        <f t="shared" si="6"/>
        <v>278</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11</v>
      </c>
      <c r="AK23" s="1240">
        <f t="shared" si="6"/>
        <v>42</v>
      </c>
      <c r="AL23" s="1240">
        <f t="shared" si="6"/>
        <v>0</v>
      </c>
      <c r="AM23" s="1240">
        <f t="shared" si="6"/>
        <v>0</v>
      </c>
      <c r="AN23" s="1240">
        <f t="shared" si="6"/>
        <v>0</v>
      </c>
      <c r="AO23" s="1242">
        <f>IF(ISNUMBER(((NºAsuntos!I23/NºAsuntos!G23)*11)/factor_trimestre),((NºAsuntos!I23/NºAsuntos!G23)*11)/factor_trimestre," - ")</f>
        <v>7.9428571428571431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255</v>
      </c>
      <c r="G31" s="1117">
        <f t="shared" si="12"/>
        <v>274</v>
      </c>
      <c r="H31" s="1118">
        <f t="shared" si="12"/>
        <v>0</v>
      </c>
      <c r="I31" s="1117">
        <f t="shared" si="12"/>
        <v>0</v>
      </c>
      <c r="J31" s="1119">
        <f t="shared" si="12"/>
        <v>0</v>
      </c>
      <c r="K31" s="1117">
        <f t="shared" si="12"/>
        <v>0</v>
      </c>
      <c r="L31" s="1120">
        <f t="shared" si="12"/>
        <v>0</v>
      </c>
      <c r="M31" s="1117">
        <f t="shared" si="12"/>
        <v>0</v>
      </c>
      <c r="N31" s="1118">
        <f t="shared" si="12"/>
        <v>47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105</v>
      </c>
      <c r="Z31" s="1124">
        <f t="shared" si="13"/>
        <v>32</v>
      </c>
      <c r="AA31" s="1125">
        <f t="shared" si="13"/>
        <v>280</v>
      </c>
      <c r="AB31" s="1125">
        <f t="shared" si="13"/>
        <v>0</v>
      </c>
      <c r="AC31" s="1125">
        <f t="shared" si="13"/>
        <v>0</v>
      </c>
      <c r="AD31" s="1126">
        <f t="shared" si="13"/>
        <v>0</v>
      </c>
      <c r="AE31" s="1126">
        <f t="shared" si="13"/>
        <v>543</v>
      </c>
      <c r="AF31" s="1127">
        <f t="shared" si="13"/>
        <v>0</v>
      </c>
      <c r="AG31" s="1128">
        <f t="shared" si="13"/>
        <v>0</v>
      </c>
      <c r="AH31" s="1129">
        <f t="shared" si="13"/>
        <v>0</v>
      </c>
      <c r="AI31" s="1127">
        <f t="shared" si="13"/>
        <v>0</v>
      </c>
      <c r="AJ31" s="1117">
        <f t="shared" si="13"/>
        <v>16</v>
      </c>
      <c r="AK31" s="1117">
        <f t="shared" si="13"/>
        <v>43</v>
      </c>
      <c r="AL31" s="1117">
        <f t="shared" si="13"/>
        <v>0</v>
      </c>
      <c r="AM31" s="1130">
        <f t="shared" si="13"/>
        <v>0</v>
      </c>
      <c r="AN31" s="1120">
        <f>IF(ISNUMBER(Datos!K31/Datos!J31),Datos!K31/Datos!J31," - ")</f>
        <v>0.65248226950354615</v>
      </c>
      <c r="AO31" s="1120">
        <f>IF(ISNUMBER(FIND("06",Criterios!A8,1)),(IF(ISNUMBER(((Datos!R31/Datos!Q31)*11)/factor_trimestre),((Datos!R31/Datos!Q31)*11)/factor_trimestre," - ")),(IF(ISNUMBER(((Datos!L31/Datos!K31)*11)/factor_trimestre),((Datos!L31/Datos!K31)*11)/factor_trimestre," - ")))</f>
        <v>10.614130434782609</v>
      </c>
      <c r="AP31" s="1131" t="str">
        <f>IF(ISNUMBER(Datos!CI31/Datos!CJ31),Datos!CI31/Datos!CJ31," - ")</f>
        <v xml:space="preserve"> - </v>
      </c>
      <c r="AQ31" s="1131">
        <f>IF(OR(ISNUMBER(FIND("01",Criterios!A8,1)),ISNUMBER(FIND("02",Criterios!A8,1)),ISNUMBER(FIND("03",Criterios!A8,1)),ISNUMBER(FIND("04",Criterios!A8,1))),(J31-Y31+K31)/(F31-K31),(I31-Y31+K31)/(F31-K31))</f>
        <v>-0.41176470588235292</v>
      </c>
      <c r="AR31" s="1131">
        <f>IF(ISNUMBER((Datos!P31-Datos!Q31+O31)/(Datos!R31-Datos!P31+Datos!Q31-O31)),(Datos!P31-Datos!Q31+O31)/(Datos!R31-Datos!P31+Datos!Q31-O31)," - ")</f>
        <v>2.8409090909090908E-2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78.285714285714292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130.13531419257419</v>
      </c>
      <c r="G33" s="674">
        <f>IF(ISNUMBER(STDEV(G8:G30)),STDEV(G8:G30),"-")</f>
        <v>126.13579228449828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4.8403069560278329</v>
      </c>
      <c r="AK33" s="276"/>
      <c r="AL33" s="276">
        <f>IF(ISNUMBER(STDEV(AL8:AL30)),STDEV(AL8:AL30),"-")</f>
        <v>0</v>
      </c>
      <c r="AM33" s="278">
        <f>IF(ISNUMBER(STDEV(AM8:AM30)),STDEV(AM8:AM30),"-")</f>
        <v>0</v>
      </c>
      <c r="AN33" s="660">
        <f>IF(ISNUMBER(STDEV(AN8:AN30)),STDEV(AN8:AN30),"-")</f>
        <v>0</v>
      </c>
      <c r="AO33" s="661">
        <f>IF(ISNUMBER(STDEV(AO8:AO30)),STDEV(AO8:AO30),"-")</f>
        <v>4.1573421593471096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UNYZ+RbyTgvfaBKFD8rSGwWj4TqITeOYpBVi2bRnv+e3L4FE9TN0EyBJa4MSlwEdiPr4DA3COb3Xbj1vItg3g==" saltValue="GirvViFn1QFu2d1ut9X0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SFwVsdCMVBDd1r92Nz6TTXOdpkYCAyQvRIBoYxUTCN1VXybqeLXzWYrp4SIqYLgwMkUSTdOCUg20/K9WYVwMg==" saltValue="B2UAQcVeWwOdaZ2HbDxX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WPopAkNGWiCzayie2rjrkLLWVw0tSFY6Gb9AKyFsj46QDYlBkuKoRWQukJNYa3yZdgXgSReh39gtatKHVOhbg==" saltValue="fjVZxbdvJStGmcp4Drqb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6.25E-2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4.4194173824159223E-2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Dg3OW7NeC5V6HB2np0eV1Jyrs21ZPbaIgFCOfDB0OR/tiDZQYmbnIzStYGascKH1+V+Q8V065k3xAfyq9ZJkg==" saltValue="BCIv/6RrKT5JXP3OSrdu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AdcXApFrXmKwyyQn5uF9Uz+rdt7RaFIYd3wBJ7Lmt2Z85vBc3y0kyU3dTWNnoIbRf8hd1iaNq8OfHvY7jg+GQ==" saltValue="GQt4qj+8Pm1rZ6nbjQvN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TORO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0</v>
      </c>
      <c r="F10" s="452">
        <f>IF(ISNUMBER(E10/B10),E10/B10," - ")</f>
        <v>0</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282</v>
      </c>
      <c r="D12" s="452">
        <f>IF(ISNUMBER(C12/Datos!BH12),C12/Datos!BH12," - ")</f>
        <v>282</v>
      </c>
      <c r="E12" s="451">
        <f>IF(ISNUMBER(IF(J_V="SI",Datos!J12,Datos!J12+Datos!Z12)),IF(J_V="SI",Datos!J12,Datos!J12+Datos!Z12)," - ")</f>
        <v>174</v>
      </c>
      <c r="F12" s="452">
        <f>IF(ISNUMBER(E12/B12),E12/B12," - ")</f>
        <v>174</v>
      </c>
      <c r="G12" s="451">
        <f>IF(ISNUMBER(IF(J_V="SI",Datos!K12,Datos!K12+Datos!AA12)),IF(J_V="SI",Datos!K12,Datos!K12+Datos!AA12)," - ")</f>
        <v>80</v>
      </c>
      <c r="H12" s="452">
        <f>IF(ISNUMBER(G12/B12),G12/B12," - ")</f>
        <v>80</v>
      </c>
      <c r="I12" s="451">
        <f>IF(ISNUMBER(IF(J_V="SI",Datos!L12,Datos!L12+Datos!AB12)),IF(J_V="SI",Datos!L12,Datos!L12+Datos!AB12)," - ")</f>
        <v>376</v>
      </c>
      <c r="J12" s="452">
        <f>IF(ISNUMBER(I12/B12),I12/B12," - ")</f>
        <v>376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284</v>
      </c>
      <c r="D14" s="1147" t="str">
        <f>IF(ISNUMBER(C14/Datos!BI14),C14/Datos!BI14," - ")</f>
        <v xml:space="preserve"> - </v>
      </c>
      <c r="E14" s="1146">
        <f>SUBTOTAL(9,E8:E13)</f>
        <v>174</v>
      </c>
      <c r="F14" s="1147">
        <f>IF(ISNUMBER(E14/B14),E14/B14," - ")</f>
        <v>174</v>
      </c>
      <c r="G14" s="1146">
        <f>SUBTOTAL(9,G8:G13)</f>
        <v>80</v>
      </c>
      <c r="H14" s="1147">
        <f>IF(ISNUMBER(G14/B14),G14/B14," - ")</f>
        <v>80</v>
      </c>
      <c r="I14" s="1146">
        <f>SUBTOTAL(9,I8:I13)</f>
        <v>378</v>
      </c>
      <c r="J14" s="1147">
        <f>IF(ISNUMBER(I14/B14),I14/B14," - ")</f>
        <v>378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253</v>
      </c>
      <c r="D17" s="452">
        <f>IF(ISNUMBER(C17/Datos!BH17),C17/Datos!BH17," - ")</f>
        <v>253</v>
      </c>
      <c r="E17" s="451">
        <f>IF(ISNUMBER(IF(D_I="SI",Datos!J17,Datos!J17+Datos!AD17)),IF(D_I="SI",Datos!J17,Datos!J17+Datos!AD17)," - ")</f>
        <v>110</v>
      </c>
      <c r="F17" s="452">
        <f>IF(ISNUMBER(E17/B17),E17/B17," - ")</f>
        <v>110</v>
      </c>
      <c r="G17" s="451">
        <f>IF(ISNUMBER(IF(D_I="SI",Datos!K17,Datos!K17+Datos!AE17)),IF(D_I="SI",Datos!K17,Datos!K17+Datos!AE17)," - ")</f>
        <v>102</v>
      </c>
      <c r="H17" s="452">
        <f>IF(ISNUMBER(G17/B17),G17/B17," - ")</f>
        <v>102</v>
      </c>
      <c r="I17" s="451">
        <f>IF(ISNUMBER(IF(D_I="SI",Datos!L17,Datos!L17+Datos!AF17)),IF(D_I="SI",Datos!L17,Datos!L17+Datos!AF17)," - ")</f>
        <v>261</v>
      </c>
      <c r="J17" s="452">
        <f>IF(ISNUMBER(I17/B17),I17/B17," - ")</f>
        <v>261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1</v>
      </c>
      <c r="F18" s="452">
        <f>IF(ISNUMBER(E18/B18),E18/B18," - ")</f>
        <v>1</v>
      </c>
      <c r="G18" s="451">
        <f>IF(ISNUMBER(IF(D_I="SI",Datos!K18,Datos!K18+Datos!AE18)),IF(D_I="SI",Datos!K18,Datos!K18+Datos!AE18)," - ")</f>
        <v>3</v>
      </c>
      <c r="H18" s="452">
        <f>IF(ISNUMBER(G18/B18),G18/B18," - ")</f>
        <v>3</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272</v>
      </c>
      <c r="D23" s="1147" t="str">
        <f>IF(ISNUMBER(C23/Datos!BI23),C23/Datos!BI23," - ")</f>
        <v xml:space="preserve"> - </v>
      </c>
      <c r="E23" s="1146">
        <f>SUBTOTAL(9,E15:E22)</f>
        <v>111</v>
      </c>
      <c r="F23" s="1147">
        <f>IF(ISNUMBER(E23/B23),E23/B23," - ")</f>
        <v>111</v>
      </c>
      <c r="G23" s="1146">
        <f>SUBTOTAL(9,G15:G22)</f>
        <v>105</v>
      </c>
      <c r="H23" s="1147">
        <f>IF(ISNUMBER(G23/B23),G23/B23," - ")</f>
        <v>105</v>
      </c>
      <c r="I23" s="1146">
        <f>SUBTOTAL(9,I15:I22)</f>
        <v>278</v>
      </c>
      <c r="J23" s="1147">
        <f>IF(ISNUMBER(I23/B23),I23/B23," - ")</f>
        <v>278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556</v>
      </c>
      <c r="D31" s="1085" t="str">
        <f>IF(ISNUMBER(C31/Datos!BI31),C31/Datos!BI31," - ")</f>
        <v xml:space="preserve"> - </v>
      </c>
      <c r="E31" s="1084">
        <f>SUBTOTAL(9,E9:E30)</f>
        <v>285</v>
      </c>
      <c r="F31" s="1085">
        <f>IF(ISNUMBER(E31/B31),E31/B31," - ")</f>
        <v>285</v>
      </c>
      <c r="G31" s="1084">
        <f>SUBTOTAL(9,G9:G30)</f>
        <v>185</v>
      </c>
      <c r="H31" s="1085">
        <f>IF(ISNUMBER(G31/B31),G31/B31," - ")</f>
        <v>185</v>
      </c>
      <c r="I31" s="1084">
        <f>SUBTOTAL(9,I9:I30)</f>
        <v>656</v>
      </c>
      <c r="J31" s="1085">
        <f>IF(ISNUMBER(I31/B31),I31/B31," - ")</f>
        <v>656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8+s4aGOdjqQ2i0hVK1jSCh2zm1orfKd4kyxrSYqKnb0trEPYTyv4c42/UxxxUqeypz3NpBn2ImDEso4Xsd8xg==" saltValue="uUoiBaNn15E0P1cmOCzn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v>
      </c>
      <c r="AM12" s="914">
        <f>IF(ISNUMBER(Datos!N12+DatosP!N17),Datos!N12+DatosP!N17," - ")</f>
        <v>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14.100000000000001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3.8152610441767071E-2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23</v>
      </c>
      <c r="AE14" s="1257">
        <f t="shared" si="1"/>
        <v>0</v>
      </c>
      <c r="AF14" s="1257">
        <f t="shared" si="1"/>
        <v>2</v>
      </c>
      <c r="AG14" s="1257">
        <f t="shared" si="1"/>
        <v>0</v>
      </c>
      <c r="AH14" s="1257">
        <f t="shared" si="1"/>
        <v>517</v>
      </c>
      <c r="AI14" s="1257">
        <f t="shared" si="1"/>
        <v>0</v>
      </c>
      <c r="AJ14" s="1257">
        <f t="shared" si="1"/>
        <v>0</v>
      </c>
      <c r="AK14" s="1257">
        <f t="shared" si="1"/>
        <v>0</v>
      </c>
      <c r="AL14" s="1257">
        <f t="shared" si="1"/>
        <v>5</v>
      </c>
      <c r="AM14" s="1257">
        <f t="shared" si="1"/>
        <v>1</v>
      </c>
      <c r="AN14" s="1257">
        <f t="shared" si="1"/>
        <v>0</v>
      </c>
      <c r="AO14" s="1257">
        <f t="shared" si="1"/>
        <v>0</v>
      </c>
      <c r="AP14" s="1262">
        <f>IF(ISNUMBER(((Datos!L14/Datos!K14)*11)/factor_trimestre),((Datos!L14/Datos!K14)*11)/factor_trimestre," - ")</f>
        <v>14.164556962025317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3.8152610441767071E-2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7.9428571428571431</v>
      </c>
      <c r="AQ23" s="1262">
        <f>IF(ISNUMBER(((Datos!M23/Datos!L23)*11)/factor_trimestre),((Datos!M23/Datos!L23)*11)/factor_trimestre," - ")</f>
        <v>0.11870503597122302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-0.14285714285714285</v>
      </c>
      <c r="AW23" s="1265">
        <f>IF(ISNUMBER((Datos!Q23-Datos!R23)/(Datos!S23-Datos!Q23+Datos!R23)),(Datos!Q23-Datos!R23)/(Datos!S23-Datos!Q23+Datos!R23)," - ")</f>
        <v>-3.614457831325301E-2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23</v>
      </c>
      <c r="AE31" s="1284">
        <f t="shared" si="9"/>
        <v>0</v>
      </c>
      <c r="AF31" s="1285">
        <f t="shared" si="9"/>
        <v>2</v>
      </c>
      <c r="AG31" s="1285">
        <f t="shared" si="9"/>
        <v>0</v>
      </c>
      <c r="AH31" s="1285">
        <f t="shared" si="9"/>
        <v>517</v>
      </c>
      <c r="AI31" s="1285">
        <f t="shared" si="9"/>
        <v>0</v>
      </c>
      <c r="AJ31" s="1286">
        <f t="shared" si="9"/>
        <v>0</v>
      </c>
      <c r="AK31" s="1286">
        <f t="shared" si="9"/>
        <v>0</v>
      </c>
      <c r="AL31" s="1278">
        <f t="shared" si="9"/>
        <v>5</v>
      </c>
      <c r="AM31" s="1278">
        <f t="shared" si="9"/>
        <v>1</v>
      </c>
      <c r="AN31" s="1278">
        <f t="shared" si="9"/>
        <v>0</v>
      </c>
      <c r="AO31" s="1278">
        <f t="shared" si="9"/>
        <v>0</v>
      </c>
      <c r="AP31" s="1278">
        <f>IF(ISNUMBER(((Datos!L31/Datos!K31)*11)/factor_trimestre),((Datos!L31/Datos!K31)*11)/factor_trimestre," - ")</f>
        <v>10.614130434782609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2.8409090909090908E-2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3.5736098556979359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g3ANP9aRoHhMLJxxI2OUAfsxMz4qDfn+knmVC9n2fNyN/Q2bGUZoyR8ySqB4PzaUUhbTa8+bfHqA9sk38RzvQ==" saltValue="LyHPdgU4Un8MgX9qDqj5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4jIL8mZ79xr208gffiMIseu9yeLNEFMJqlkAEtS3SsJ5h2q6493T2jnfGL4sG/yRrVa+WzEyJt164yewx433dA==" saltValue="4U1DYmRUBr/pflSNfNU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TORO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v>
      </c>
      <c r="E12" s="452">
        <f t="shared" si="0"/>
        <v>5</v>
      </c>
      <c r="F12" s="451">
        <f>IF(ISNUMBER(Datos!N12),Datos!N12," - ")</f>
        <v>1</v>
      </c>
      <c r="G12" s="452">
        <f t="shared" si="1"/>
        <v>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v>
      </c>
      <c r="E14" s="1147">
        <f t="shared" si="0"/>
        <v>2.5</v>
      </c>
      <c r="F14" s="1146">
        <f>SUBTOTAL(9,F9:F13)</f>
        <v>1</v>
      </c>
      <c r="G14" s="1147">
        <f t="shared" si="1"/>
        <v>0.5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41</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42</v>
      </c>
      <c r="G23" s="1147">
        <f t="shared" si="4"/>
        <v>21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16</v>
      </c>
      <c r="E31" s="1085">
        <f>IF(ISNUMBER(D31/B31),D31/B31," - ")</f>
        <v>16</v>
      </c>
      <c r="F31" s="1084">
        <f>SUBTOTAL(9,F8:F30)</f>
        <v>43</v>
      </c>
      <c r="G31" s="1085">
        <f>IF(ISNUMBER(F31/B31),F31/B31," - ")</f>
        <v>43</v>
      </c>
      <c r="H31" s="1084">
        <f>SUBTOTAL(9,H8:H30)</f>
        <v>0</v>
      </c>
      <c r="I31" s="1085">
        <f>IF(ISNUMBER(H31/B31),H31/B31," - ")</f>
        <v>0</v>
      </c>
    </row>
    <row r="34" spans="1:1">
      <c r="A34" s="439" t="str">
        <f>Criterios!A4</f>
        <v>Fecha Informe: 05 may. 2023</v>
      </c>
    </row>
    <row r="39" spans="1:1">
      <c r="A39" s="462"/>
    </row>
  </sheetData>
  <sheetProtection algorithmName="SHA-512" hashValue="ni2xgi5QJcdackW39B2hBaOLY2N1i2RCFkCn4BXEreNJ5gLEBzURS/wsMLZcAXBFzNbApo6dEd0IDEcPPpFUVg==" saltValue="dbAVS00wVBs398LrfLaV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TORO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23</v>
      </c>
      <c r="D12" s="456">
        <f>IF(ISNUMBER(Datos!R12),Datos!R12," - ")</f>
        <v>517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23</v>
      </c>
      <c r="D14" s="1148">
        <f>SUBTOTAL(9,D9:D13)</f>
        <v>519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9</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9</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v>
      </c>
      <c r="C31" s="1089">
        <f>SUBTOTAL(9,C8:C30)</f>
        <v>32</v>
      </c>
      <c r="D31" s="1090">
        <f>SUBTOTAL(9,D8:D30)</f>
        <v>543</v>
      </c>
    </row>
    <row r="32" spans="1:4" ht="7.5" customHeight="1"/>
    <row r="33" spans="1:1" ht="6" customHeight="1"/>
    <row r="34" spans="1:1">
      <c r="A34" s="439" t="str">
        <f>Criterios!A4</f>
        <v>Fecha Informe: 05 may. 2023</v>
      </c>
    </row>
    <row r="39" spans="1:1">
      <c r="A39" s="462"/>
    </row>
  </sheetData>
  <sheetProtection algorithmName="SHA-512" hashValue="Bmqn0gQZgTgxcXzU9gJwIh/f6F4QkDl81N6F5NMJ9WnxXdk/fG2XTaKpRcayIljpXb6pJ1TSJbgkF9G2BsOv5w==" saltValue="0h0RmNOHW4EJk7uxSCdI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TORO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-0.21448467966573817</v>
      </c>
      <c r="C12" s="515">
        <f>IF(ISNUMBER(
   IF(J_V="SI",(Datos!J12-Datos!T12)/Datos!T12,(Datos!J12+Datos!Z12-(Datos!T12+Datos!AH12))/(Datos!T12+Datos!AH12))
     ),IF(J_V="SI",(Datos!J12-Datos!T12)/Datos!T12,(Datos!J12+Datos!Z12-(Datos!T12+Datos!AH12))/(Datos!T12+Datos!AH12))," - ")</f>
        <v>0.11538461538461539</v>
      </c>
      <c r="D12" s="515">
        <f>IF(ISNUMBER(
   IF(J_V="SI",(Datos!K12-Datos!U12)/Datos!U12,(Datos!K12+Datos!AA12-(Datos!U12+Datos!AI12))/(Datos!U12+Datos!AI12))
     ),IF(J_V="SI",(Datos!K12-Datos!U12)/Datos!U12,(Datos!K12+Datos!AA12-(Datos!U12+Datos!AI12))/(Datos!U12+Datos!AI12))," - ")</f>
        <v>-0.36507936507936506</v>
      </c>
      <c r="E12" s="515">
        <f>IF(ISNUMBER(
   IF(J_V="SI",(Datos!L12-Datos!V12)/Datos!V12,(Datos!L12+Datos!AB12-(Datos!V12+Datos!AJ12))/(Datos!V12+Datos!AJ12))
     ),IF(J_V="SI",(Datos!L12-Datos!V12)/Datos!V12,(Datos!L12+Datos!AB12-(Datos!V12+Datos!AJ12))/(Datos!V12+Datos!AJ12))," - ")</f>
        <v>-3.3419023136246784E-2</v>
      </c>
      <c r="F12" s="515">
        <f>IF(ISNUMBER((Datos!M12-Datos!W12)/Datos!W12),(Datos!M12-Datos!W12)/Datos!W12," - ")</f>
        <v>-0.78260869565217395</v>
      </c>
      <c r="G12" s="516">
        <f>IF(ISNUMBER((Datos!N12-Datos!X12)/Datos!X12),(Datos!N12-Datos!X12)/Datos!X12," - ")</f>
        <v>-0.98113207547169812</v>
      </c>
      <c r="H12" s="514">
        <f>IF(ISNUMBER(((NºAsuntos!G12/NºAsuntos!E12)-Datos!BD12)/Datos!BD12),((NºAsuntos!G12/NºAsuntos!E12)-Datos!BD12)/Datos!BD12," - ")</f>
        <v>-0.43076081007115491</v>
      </c>
      <c r="I12" s="515">
        <f>IF(ISNUMBER(((NºAsuntos!I12/NºAsuntos!G12)-Datos!BE12)/Datos!BE12),((NºAsuntos!I12/NºAsuntos!G12)-Datos!BE12)/Datos!BE12," - ")</f>
        <v>0.52236503856041128</v>
      </c>
      <c r="J12" s="521">
        <f>IF(ISNUMBER((('Resol  Asuntos'!D12/NºAsuntos!G12)-Datos!BF12)/Datos!BF12),(('Resol  Asuntos'!D12/NºAsuntos!G12)-Datos!BF12)/Datos!BF12," - ")</f>
        <v>-0.85141509433962259</v>
      </c>
      <c r="K12" s="522">
        <f>IF(ISNUMBER((((NºAsuntos!C12+NºAsuntos!E12)/NºAsuntos!G12)-Datos!BG12)/Datos!BG12),(((NºAsuntos!C12+NºAsuntos!E12)/NºAsuntos!G12)-Datos!BG12)/Datos!BG12," - ")</f>
        <v>0.39456310679611667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-0.21329639889196675</v>
      </c>
      <c r="C14" s="1152">
        <f>IF(ISNUMBER(
   IF(J_V="SI",(Datos!J14-Datos!T14)/Datos!T14,(Datos!J14+Datos!Z14-(Datos!T14+Datos!AH14))/(Datos!T14+Datos!AH14))
     ),IF(J_V="SI",(Datos!J14-Datos!T14)/Datos!T14,(Datos!J14+Datos!Z14-(Datos!T14+Datos!AH14))/(Datos!T14+Datos!AH14))," - ")</f>
        <v>0.10828025477707007</v>
      </c>
      <c r="D14" s="1152">
        <f>IF(ISNUMBER(
   IF(J_V="SI",(Datos!K14-Datos!U14)/Datos!U14,(Datos!K14+Datos!AA14-(Datos!U14+Datos!AI14))/(Datos!U14+Datos!AI14))
     ),IF(J_V="SI",(Datos!K14-Datos!U14)/Datos!U14,(Datos!K14+Datos!AA14-(Datos!U14+Datos!AI14))/(Datos!U14+Datos!AI14))," - ")</f>
        <v>-0.37007874015748032</v>
      </c>
      <c r="E14" s="1152">
        <f>IF(ISNUMBER(
   IF(J_V="SI",(Datos!L14-Datos!V14)/Datos!V14,(Datos!L14+Datos!AB14-(Datos!V14+Datos!AJ14))/(Datos!V14+Datos!AJ14))
     ),IF(J_V="SI",(Datos!L14-Datos!V14)/Datos!V14,(Datos!L14+Datos!AB14-(Datos!V14+Datos!AJ14))/(Datos!V14+Datos!AJ14))," - ")</f>
        <v>-3.3248081841432228E-2</v>
      </c>
      <c r="F14" s="1153">
        <f>IF(ISNUMBER((Datos!M14-Datos!W14)/Datos!W14),(Datos!M14-Datos!W14)/Datos!W14," - ")</f>
        <v>-0.78260869565217395</v>
      </c>
      <c r="G14" s="1154">
        <f>IF(ISNUMBER((Datos!N14-Datos!X14)/Datos!X14),(Datos!N14-Datos!X14)/Datos!X14," - ")</f>
        <v>-0.98148148148148151</v>
      </c>
      <c r="H14" s="1154">
        <f>IF(ISNUMBER(((NºAsuntos!G14/NºAsuntos!E14)-Datos!BD14)/Datos!BD14),((NºAsuntos!G14/NºAsuntos!E14)-Datos!BD14)/Datos!BD14," - ")</f>
        <v>-0.43162277129151966</v>
      </c>
      <c r="I14" s="1154">
        <f>IF(ISNUMBER(((NºAsuntos!I14/NºAsuntos!G14)-Datos!BE14)/Datos!BE14),((NºAsuntos!I14/NºAsuntos!G14)-Datos!BE14)/Datos!BE14," - ")</f>
        <v>0.53471867007672624</v>
      </c>
      <c r="J14" s="1154">
        <f>IF(ISNUMBER((('Resol  Asuntos'!D14/NºAsuntos!G14)-Datos!BF14)/Datos!BF14),(('Resol  Asuntos'!D14/NºAsuntos!G14)-Datos!BF14)/Datos!BF14," - ")</f>
        <v>-0.85023584905660377</v>
      </c>
      <c r="K14" s="1154">
        <f>IF(ISNUMBER((((NºAsuntos!C14+NºAsuntos!E14)/NºAsuntos!G14)-Datos!BG14)/Datos!BG14),(((NºAsuntos!C14+NºAsuntos!E14)/NºAsuntos!G14)-Datos!BG14)/Datos!BG14," - ")</f>
        <v>0.40361969111969109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-0.35128205128205126</v>
      </c>
      <c r="C17" s="515">
        <f>IF(ISNUMBER(
   IF(D_I="SI",(Datos!J17-Datos!T17)/Datos!T17,(Datos!J17+Datos!AD17-(Datos!T17+Datos!AL17))/(Datos!T17+Datos!AL17))
     ),IF(D_I="SI",(Datos!J17-Datos!T17)/Datos!T17,(Datos!J17+Datos!AD17-(Datos!T17+Datos!AL17))/(Datos!T17+Datos!AL17))," - ")</f>
        <v>0.52777777777777779</v>
      </c>
      <c r="D17" s="515">
        <f>IF(ISNUMBER(
   IF(D_I="SI",(Datos!K17-Datos!U17)/Datos!U17,(Datos!K17+Datos!AE17-(Datos!U17+Datos!AM17))/(Datos!U17+Datos!AM17))
     ),IF(D_I="SI",(Datos!K17-Datos!U17)/Datos!U17,(Datos!K17+Datos!AE17-(Datos!U17+Datos!AM17))/(Datos!U17+Datos!AM17))," - ")</f>
        <v>-0.25</v>
      </c>
      <c r="E17" s="515">
        <f>IF(ISNUMBER(
   IF(D_I="SI",(Datos!L17-Datos!V17)/Datos!V17,(Datos!L17+Datos!AF17-(Datos!V17+Datos!AN17))/(Datos!V17+Datos!AN17))
     ),IF(D_I="SI",(Datos!L17-Datos!V17)/Datos!V17,(Datos!L17+Datos!AF17-(Datos!V17+Datos!AN17))/(Datos!V17+Datos!AN17))," - ")</f>
        <v>-0.19444444444444445</v>
      </c>
      <c r="F17" s="515">
        <f>IF(ISNUMBER((Datos!M17-Datos!W17)/Datos!W17),(Datos!M17-Datos!W17)/Datos!W17," - ")</f>
        <v>-0.3888888888888889</v>
      </c>
      <c r="G17" s="516">
        <f>IF(ISNUMBER((Datos!N17-Datos!X17)/Datos!X17),(Datos!N17-Datos!X17)/Datos!X17," - ")</f>
        <v>-0.56842105263157894</v>
      </c>
      <c r="H17" s="514">
        <f>IF(ISNUMBER(((NºAsuntos!G17/NºAsuntos!E17)-Datos!BD17)/Datos!BD17),((NºAsuntos!G17/NºAsuntos!E17)-Datos!BD17)/Datos!BD17," - ")</f>
        <v>-0.50909090909090904</v>
      </c>
      <c r="I17" s="515">
        <f>IF(ISNUMBER(((NºAsuntos!I17/NºAsuntos!G17)-Datos!BE17)/Datos!BE17),((NºAsuntos!I17/NºAsuntos!G17)-Datos!BE17)/Datos!BE17," - ")</f>
        <v>7.4074074074074001E-2</v>
      </c>
      <c r="J17" s="521">
        <f>IF(ISNUMBER((('Resol  Asuntos'!D17/NºAsuntos!G17)-Datos!BF17)/Datos!BF17),(('Resol  Asuntos'!D17/NºAsuntos!G17)-Datos!BF17)/Datos!BF17," - ")</f>
        <v>-0.18518518518518515</v>
      </c>
      <c r="K17" s="522">
        <f>IF(ISNUMBER((((NºAsuntos!C17+NºAsuntos!E17)/NºAsuntos!G17)-Datos!BG17)/Datos!BG17),(((NºAsuntos!C17+NºAsuntos!E17)/NºAsuntos!G17)-Datos!BG17)/Datos!BG17," - ")</f>
        <v>4.7619047619047582E-2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0.9</v>
      </c>
      <c r="C18" s="515">
        <f>IF(ISNUMBER(
   IF(D_I="SI",(Datos!J18-Datos!T18)/Datos!T18,(Datos!J18+Datos!AD18-(Datos!T18+Datos!AL18))/(Datos!T18+Datos!AL18))
     ),IF(D_I="SI",(Datos!J18-Datos!T18)/Datos!T18,(Datos!J18+Datos!AD18-(Datos!T18+Datos!AL18))/(Datos!T18+Datos!AL18))," - ")</f>
        <v>-0.8</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0.30769230769230771</v>
      </c>
      <c r="F18" s="515" t="str">
        <f>IF(ISNUMBER((Datos!M18-Datos!W18)/Datos!W18),(Datos!M18-Datos!W18)/Datos!W18," - ")</f>
        <v xml:space="preserve"> - </v>
      </c>
      <c r="G18" s="516">
        <f>IF(ISNUMBER((Datos!N18-Datos!X18)/Datos!X18),(Datos!N18-Datos!X18)/Datos!X18," - ")</f>
        <v>-0.75</v>
      </c>
      <c r="H18" s="514">
        <f>IF(ISNUMBER(((NºAsuntos!G18/NºAsuntos!E18)-Datos!BD18)/Datos!BD18),((NºAsuntos!G18/NºAsuntos!E18)-Datos!BD18)/Datos!BD18," - ")</f>
        <v>6.5</v>
      </c>
      <c r="I18" s="515">
        <f>IF(ISNUMBER(((NºAsuntos!I18/NºAsuntos!G18)-Datos!BE18)/Datos!BE18),((NºAsuntos!I18/NºAsuntos!G18)-Datos!BE18)/Datos!BE18," - ")</f>
        <v>-0.12820512820512817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-0.11111111111111108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v>
      </c>
      <c r="C23" s="1152">
        <f>IF(ISNUMBER(
   IF(Criterios!B14="SI",(Datos!J23-Datos!T23)/Datos!T23,(Datos!J23+Datos!AD23-(Datos!T23+Datos!AL23))/(Datos!T23+Datos!AL23))
     ),IF(Criterios!B14="SI",(Datos!J23-Datos!T23)/Datos!T23,(Datos!J23+Datos!AD23-(Datos!T23+Datos!AL23))/(Datos!T23+Datos!AL23))," - ")</f>
        <v>0.44155844155844154</v>
      </c>
      <c r="D23" s="1152">
        <f>IF(ISNUMBER(
   IF(Criterios!B14="SI",(Datos!K23-Datos!U23)/Datos!U23,(Datos!K23+Datos!AE23-(Datos!U23+Datos!AM23))/(Datos!U23+Datos!AM23))
     ),IF(Criterios!B14="SI",(Datos!K23-Datos!U23)/Datos!U23,(Datos!K23+Datos!AE23-(Datos!U23+Datos!AM23))/(Datos!U23+Datos!AM23))," - ")</f>
        <v>-0.2391304347826087</v>
      </c>
      <c r="E23" s="1152">
        <f>IF(ISNUMBER(
   IF(Criterios!B14="SI",(Datos!L23-Datos!V23)/Datos!V23,(Datos!L23+Datos!AF23-(Datos!V23+Datos!AN23))/(Datos!V23+Datos!AN23))
     ),IF(Criterios!B14="SI",(Datos!L23-Datos!V23)/Datos!V23,(Datos!L23+Datos!AF23-(Datos!V23+Datos!AN23))/(Datos!V23+Datos!AN23))," - ")</f>
        <v>-0.17507418397626112</v>
      </c>
      <c r="F23" s="1153">
        <f>IF(ISNUMBER((Datos!M23-Datos!W23)/Datos!W23),(Datos!M23-Datos!W23)/Datos!W23," - ")</f>
        <v>-0.3888888888888889</v>
      </c>
      <c r="G23" s="1154">
        <f>IF(ISNUMBER((Datos!N23-Datos!X23)/Datos!X23),(Datos!N23-Datos!X23)/Datos!X23," - ")</f>
        <v>-0.5757575757575758</v>
      </c>
      <c r="H23" s="1154">
        <f>IF(ISNUMBER(((NºAsuntos!G23/NºAsuntos!E23)-Datos!BD23)/Datos!BD23),((NºAsuntos!G23/NºAsuntos!E23)-Datos!BD23)/Datos!BD23," - ")</f>
        <v>-0.47218958088523305</v>
      </c>
      <c r="I23" s="1154">
        <f>IF(ISNUMBER(((NºAsuntos!I23/NºAsuntos!G23)-Datos!BE23)/Datos!BE23),((NºAsuntos!I23/NºAsuntos!G23)-Datos!BE23)/Datos!BE23," - ")</f>
        <v>8.4188215345485262E-2</v>
      </c>
      <c r="J23" s="1154">
        <f>IF(ISNUMBER((('Resol  Asuntos'!D23/NºAsuntos!G23)-Datos!BF23)/Datos!BF23),(('Resol  Asuntos'!D23/NºAsuntos!G23)-Datos!BF23)/Datos!BF23," - ")</f>
        <v>-0.19682539682539679</v>
      </c>
      <c r="K23" s="1154">
        <f>IF(ISNUMBER((((NºAsuntos!C23+NºAsuntos!E23)/NºAsuntos!G23)-Datos!BG23)/Datos!BG23),(((NºAsuntos!C23+NºAsuntos!E23)/NºAsuntos!G23)-Datos!BG23)/Datos!BG23," - ")</f>
        <v>5.5286013776579851E-2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-0.26938239159001315</v>
      </c>
      <c r="C31" s="1092">
        <f>IF(ISNUMBER(
   IF(J_V="SI",(Datos!J31-Datos!T31)/Datos!T31,(Datos!J31+Datos!Z31-(Datos!T31+Datos!AH31))/(Datos!T31+Datos!AH31))
     ),IF(J_V="SI",(Datos!J31-Datos!T31)/Datos!T31,(Datos!J31+Datos!Z31-(Datos!T31+Datos!AH31))/(Datos!T31+Datos!AH31))," - ")</f>
        <v>0.21794871794871795</v>
      </c>
      <c r="D31" s="1092">
        <f>IF(ISNUMBER(
   IF(J_V="SI",(Datos!K31-Datos!U31)/Datos!U31,(Datos!K31+Datos!AA31-(Datos!U31+Datos!AI31))/(Datos!U31+Datos!AI31))
     ),IF(J_V="SI",(Datos!K31-Datos!U31)/Datos!U31,(Datos!K31+Datos!AA31-(Datos!U31+Datos!AI31))/(Datos!U31+Datos!AI31))," - ")</f>
        <v>-0.30188679245283018</v>
      </c>
      <c r="E31" s="1092">
        <f>IF(ISNUMBER(
   IF(J_V="SI",(Datos!L31-Datos!V31)/Datos!V31,(Datos!L31+Datos!AB31-(Datos!V31+Datos!AJ31))/(Datos!V31+Datos!AJ31))
     ),IF(J_V="SI",(Datos!L31-Datos!V31)/Datos!V31,(Datos!L31+Datos!AB31-(Datos!V31+Datos!AJ31))/(Datos!V31+Datos!AJ31))," - ")</f>
        <v>-9.8901098901098897E-2</v>
      </c>
      <c r="F31" s="1093">
        <f>IF(ISNUMBER((Datos!M31-Datos!W31)/Datos!W31),(Datos!M31-Datos!W31)/Datos!W31," - ")</f>
        <v>-0.6097560975609756</v>
      </c>
      <c r="G31" s="1094">
        <f>IF(ISNUMBER((Datos!N31-Datos!X31)/Datos!X31),(Datos!N31-Datos!X31)/Datos!X31," - ")</f>
        <v>-0.71895424836601307</v>
      </c>
      <c r="H31" s="1095">
        <f>IF(ISNUMBER((Tasas!B31-Datos!BD31)/Datos!BD31),(Tasas!B31-Datos!BD31)/Datos!BD31," - ")</f>
        <v>-0.42681231380337631</v>
      </c>
      <c r="I31" s="1096">
        <f>IF(ISNUMBER((Tasas!C31-Datos!BE31)/Datos!BE31),(Tasas!C31-Datos!BE31)/Datos!BE31," - ")</f>
        <v>0.29076329076329094</v>
      </c>
      <c r="J31" s="1097">
        <f>IF(ISNUMBER((Tasas!D31-Datos!BF31)/Datos!BF31),(Tasas!D31-Datos!BF31)/Datos!BF31," - ")</f>
        <v>-0.67719832508564903</v>
      </c>
      <c r="K31" s="1097">
        <f>IF(ISNUMBER((Tasas!E31-Datos!BG31)/Datos!BG31),(Tasas!E31-Datos!BG31)/Datos!BG31," - ")</f>
        <v>0.21072932228711133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N3IS+5TnM8+7eRRUyqelxTYDzUunNSRw558H2Xd/QEPjoypPVdn+ecMx91nIFLjlmubKebp1egxQU5MpAs3Ww==" saltValue="wA3bdSrAlsFZhl/eJtdio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TORO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0.45977011494252873</v>
      </c>
      <c r="C12" s="498">
        <f>IF(ISNUMBER(NºAsuntos!I12/NºAsuntos!G12),NºAsuntos!I12/NºAsuntos!G12," - ")</f>
        <v>4.7</v>
      </c>
      <c r="D12" s="499">
        <f>IF(ISNUMBER('Resol  Asuntos'!D12/NºAsuntos!G12),'Resol  Asuntos'!D12/NºAsuntos!G12," - ")</f>
        <v>6.25E-2</v>
      </c>
      <c r="E12" s="500">
        <f>IF(ISNUMBER((NºAsuntos!C12+NºAsuntos!E12)/NºAsuntos!G12),(NºAsuntos!C12+NºAsuntos!E12)/NºAsuntos!G12," - ")</f>
        <v>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0.45977011494252873</v>
      </c>
      <c r="C14" s="1156">
        <f>IF(ISNUMBER(NºAsuntos!I14/NºAsuntos!G14),NºAsuntos!I14/NºAsuntos!G14," - ")</f>
        <v>4.7249999999999996</v>
      </c>
      <c r="D14" s="1157">
        <f>IF(ISNUMBER('Resol  Asuntos'!D14/NºAsuntos!G14),'Resol  Asuntos'!D14/NºAsuntos!G14," - ")</f>
        <v>6.25E-2</v>
      </c>
      <c r="E14" s="1158">
        <f>IF(ISNUMBER((NºAsuntos!C14+NºAsuntos!E14)/NºAsuntos!G14),(NºAsuntos!C14+NºAsuntos!E14)/NºAsuntos!G14," - ")</f>
        <v>5.7249999999999996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0.92727272727272725</v>
      </c>
      <c r="C17" s="498">
        <f>IF(ISNUMBER(NºAsuntos!I17/NºAsuntos!G17),NºAsuntos!I17/NºAsuntos!G17," - ")</f>
        <v>2.5588235294117645</v>
      </c>
      <c r="D17" s="499">
        <f>IF(ISNUMBER('Resol  Asuntos'!D17/NºAsuntos!G17),'Resol  Asuntos'!D17/NºAsuntos!G17," - ")</f>
        <v>0.10784313725490197</v>
      </c>
      <c r="E17" s="500">
        <f>IF(ISNUMBER((NºAsuntos!C17+NºAsuntos!E17)/NºAsuntos!G17),(NºAsuntos!C17+NºAsuntos!E17)/NºAsuntos!G17," - ")</f>
        <v>3.5588235294117645</v>
      </c>
      <c r="G17" s="523"/>
    </row>
    <row r="18" spans="1:7">
      <c r="A18" s="450" t="str">
        <f>Datos!A18</f>
        <v>Jdos. Violencia contra la mujer</v>
      </c>
      <c r="B18" s="497">
        <f>IF(ISNUMBER(NºAsuntos!G18/NºAsuntos!E18),NºAsuntos!G18/NºAsuntos!E18," - ")</f>
        <v>3</v>
      </c>
      <c r="C18" s="498">
        <f>IF(ISNUMBER(NºAsuntos!I18/NºAsuntos!G18),NºAsuntos!I18/NºAsuntos!G18," - ")</f>
        <v>5.666666666666667</v>
      </c>
      <c r="D18" s="499">
        <f>IF(ISNUMBER('Resol  Asuntos'!D18/NºAsuntos!G18),'Resol  Asuntos'!D18/NºAsuntos!G18," - ")</f>
        <v>0</v>
      </c>
      <c r="E18" s="500">
        <f>IF(ISNUMBER((NºAsuntos!C18+NºAsuntos!E18)/NºAsuntos!G18),(NºAsuntos!C18+NºAsuntos!E18)/NºAsuntos!G18," - ")</f>
        <v>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0.94594594594594594</v>
      </c>
      <c r="C23" s="1156">
        <f>IF(ISNUMBER(NºAsuntos!I23/NºAsuntos!G23),NºAsuntos!I23/NºAsuntos!G23," - ")</f>
        <v>2.6476190476190475</v>
      </c>
      <c r="D23" s="1159">
        <f>IF(ISNUMBER('Resol  Asuntos'!D23/NºAsuntos!G23),'Resol  Asuntos'!D23/NºAsuntos!G23," - ")</f>
        <v>0.10476190476190476</v>
      </c>
      <c r="E23" s="1158">
        <f>IF(ISNUMBER((NºAsuntos!C23+NºAsuntos!E23)/NºAsuntos!G23),(NºAsuntos!C23+NºAsuntos!E23)/NºAsuntos!G23," - ")</f>
        <v>3.6476190476190475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0.64912280701754388</v>
      </c>
      <c r="C31" s="1099">
        <f>IF(ISNUMBER(NºAsuntos!I31/NºAsuntos!G31),NºAsuntos!I31/NºAsuntos!G31," - ")</f>
        <v>3.5459459459459461</v>
      </c>
      <c r="D31" s="1100">
        <f>IF(ISNUMBER('Resol  Asuntos'!D31/NºAsuntos!G31),'Resol  Asuntos'!D31/NºAsuntos!G31," - ")</f>
        <v>8.6486486486486491E-2</v>
      </c>
      <c r="E31" s="1101">
        <f>IF(ISNUMBER((NºAsuntos!C31+NºAsuntos!E31)/NºAsuntos!G31),(NºAsuntos!C31+NºAsuntos!E31)/NºAsuntos!G31," - ")</f>
        <v>4.5459459459459461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vwtLeZBiUO6Kwjpr7bYnvG7uL4Gw2JbH/f54KpalFJZ5e09ZUjYbQguGh+KIZCpq2NEjjqVpw2dzYTIGIWoTQ==" saltValue="VToetDrLjYcaNon7CYJ+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2</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v>
      </c>
      <c r="AJ12" s="243" t="str">
        <f>IF(ISNUMBER(Datos!BW12),Datos!BW12," - ")</f>
        <v xml:space="preserve"> - </v>
      </c>
      <c r="AK12" s="242" t="str">
        <f>IF(ISNUMBER(Datos!BX12),Datos!BX12," - ")</f>
        <v xml:space="preserve"> - </v>
      </c>
      <c r="AL12" s="266">
        <f>IF(ISNUMBER(NºAsuntos!G12/NºAsuntos!E12),NºAsuntos!G12/NºAsuntos!E12," - ")</f>
        <v>0.45977011494252873</v>
      </c>
      <c r="AM12" s="284">
        <f>IF(ISNUMBER(((NºAsuntos!I12/NºAsuntos!G12)*11)/factor_trimestre),((NºAsuntos!I12/NºAsuntos!G12)*11)/factor_trimestre," - ")</f>
        <v>14.100000000000001</v>
      </c>
      <c r="AN12" s="267">
        <f>IF(ISNUMBER('Resol  Asuntos'!D12/NºAsuntos!G12),'Resol  Asuntos'!D12/NºAsuntos!G12," - ")</f>
        <v>6.25E-2</v>
      </c>
      <c r="AO12" s="268">
        <f>IF(ISNUMBER((NºAsuntos!C12+NºAsuntos!E12)/NºAsuntos!G12),(NºAsuntos!C12+NºAsuntos!E12)/NºAsuntos!G12," - ")</f>
        <v>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23</v>
      </c>
      <c r="Y14" s="1165">
        <f t="shared" si="6"/>
        <v>23</v>
      </c>
      <c r="Z14" s="1165">
        <f t="shared" si="6"/>
        <v>0</v>
      </c>
      <c r="AA14" s="1165">
        <f t="shared" si="6"/>
        <v>2</v>
      </c>
      <c r="AB14" s="1165">
        <f t="shared" si="6"/>
        <v>519</v>
      </c>
      <c r="AC14" s="1165">
        <f t="shared" si="6"/>
        <v>4</v>
      </c>
      <c r="AD14" s="1165">
        <f t="shared" si="6"/>
        <v>0</v>
      </c>
      <c r="AE14" s="1169">
        <f t="shared" si="6"/>
        <v>0</v>
      </c>
      <c r="AF14" s="1162">
        <f t="shared" si="6"/>
        <v>0</v>
      </c>
      <c r="AG14" s="1170">
        <f t="shared" si="6"/>
        <v>0</v>
      </c>
      <c r="AH14" s="1167">
        <f t="shared" si="6"/>
        <v>0</v>
      </c>
      <c r="AI14" s="1162">
        <f t="shared" si="6"/>
        <v>5</v>
      </c>
      <c r="AJ14" s="1164">
        <f t="shared" si="6"/>
        <v>0</v>
      </c>
      <c r="AK14" s="1167">
        <f>SUBTOTAL(9,AK9:AK13)</f>
        <v>0</v>
      </c>
      <c r="AL14" s="1171">
        <f>IF(ISNUMBER(NºAsuntos!G14/NºAsuntos!E14),NºAsuntos!G14/NºAsuntos!E14," - ")</f>
        <v>0.45977011494252873</v>
      </c>
      <c r="AM14" s="1171">
        <f>IF(ISNUMBER(((NºAsuntos!I14/NºAsuntos!G14)*11)/factor_trimestre),((NºAsuntos!I14/NºAsuntos!G14)*11)/factor_trimestre," - ")</f>
        <v>14.174999999999999</v>
      </c>
      <c r="AN14" s="1172">
        <f>IF(ISNUMBER('Resol  Asuntos'!D14/NºAsuntos!G14),'Resol  Asuntos'!D14/NºAsuntos!G14," - ")</f>
        <v>6.25E-2</v>
      </c>
      <c r="AO14" s="1173">
        <f>IF(ISNUMBER((NºAsuntos!C14+NºAsuntos!E14)/NºAsuntos!G14),(NºAsuntos!C14+NºAsuntos!E14)/NºAsuntos!G14," - ")</f>
        <v>5.7249999999999996</v>
      </c>
      <c r="AP14" s="1174" t="str">
        <f t="shared" si="2"/>
        <v xml:space="preserve"> - </v>
      </c>
      <c r="AQ14" s="1174">
        <f>IF(ISNUMBER((H14-W14+K14)/(F14)),(H14-W14+K14)/(F14)," - ")</f>
        <v>0</v>
      </c>
      <c r="AR14" s="1175">
        <f>IF(ISNUMBER((Datos!P14-Datos!Q14)/(Datos!R14-Datos!P14+Datos!Q14)),(Datos!P14-Datos!Q14)/(Datos!R14-Datos!P14+Datos!Q14)," - ")</f>
        <v>3.7999999999999999E-2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253</v>
      </c>
      <c r="G17" s="373">
        <f>IF(ISNUMBER(IF(D_I="SI",Datos!I17,Datos!I17+Datos!AC17)),IF(D_I="SI",Datos!I17,Datos!I17+Datos!AC17)," - ")</f>
        <v>253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102</v>
      </c>
      <c r="X17" s="240">
        <f>IF(ISNUMBER(Datos!Q17),Datos!Q17," - ")</f>
        <v>9</v>
      </c>
      <c r="Y17" s="374">
        <f t="shared" ref="Y17:Y22" si="9">SUM(W17:X17)</f>
        <v>111</v>
      </c>
      <c r="Z17" s="375" t="str">
        <f>IF(ISNUMBER(Datos!CC17),Datos!CC17," - ")</f>
        <v xml:space="preserve"> - </v>
      </c>
      <c r="AA17" s="372">
        <f>IF(ISNUMBER(IF(D_I="SI",Datos!L17,Datos!L17+Datos!AF17)),IF(D_I="SI",Datos!L17,Datos!L17+Datos!AF17)," - ")</f>
        <v>261</v>
      </c>
      <c r="AB17" s="374">
        <f>IF(ISNUMBER(Datos!R17),Datos!R17," - ")</f>
        <v>24</v>
      </c>
      <c r="AC17" s="374">
        <f t="shared" si="8"/>
        <v>285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0.92727272727272725</v>
      </c>
      <c r="AM17" s="284">
        <f>IF(ISNUMBER(((NºAsuntos!I17/NºAsuntos!G17)*11)/factor_trimestre),((NºAsuntos!I17/NºAsuntos!G17)*11)/factor_trimestre," - ")</f>
        <v>7.6764705882352935</v>
      </c>
      <c r="AN17" s="267">
        <f>IF(ISNUMBER('Resol  Asuntos'!D17/NºAsuntos!G17),'Resol  Asuntos'!D17/NºAsuntos!G17," - ")</f>
        <v>0.10784313725490197</v>
      </c>
      <c r="AO17" s="268">
        <f>IF(ISNUMBER((NºAsuntos!C17+NºAsuntos!E17)/NºAsuntos!G17),(NºAsuntos!C17+NºAsuntos!E17)/NºAsuntos!G17," - ")</f>
        <v>3.5588235294117645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3</v>
      </c>
      <c r="AM18" s="284">
        <f>IF(ISNUMBER(((NºAsuntos!I18/NºAsuntos!G18)*11)/factor_trimestre),((NºAsuntos!I18/NºAsuntos!G18)*11)/factor_trimestre," - ")</f>
        <v>17</v>
      </c>
      <c r="AN18" s="267">
        <f>IF(ISNUMBER('Resol  Asuntos'!D18/NºAsuntos!G18),'Resol  Asuntos'!D18/NºAsuntos!G18," - ")</f>
        <v>0</v>
      </c>
      <c r="AO18" s="268">
        <f>IF(ISNUMBER((NºAsuntos!C18+NºAsuntos!E18)/NºAsuntos!G18),(NºAsuntos!C18+NºAsuntos!E18)/NºAsuntos!G18," - ")</f>
        <v>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253</v>
      </c>
      <c r="G23" s="1163">
        <f>SUBTOTAL(9,G16:G22)</f>
        <v>272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105</v>
      </c>
      <c r="X23" s="1164">
        <f t="shared" si="14"/>
        <v>9</v>
      </c>
      <c r="Y23" s="1165">
        <f t="shared" si="14"/>
        <v>114</v>
      </c>
      <c r="Z23" s="1165">
        <f t="shared" si="14"/>
        <v>0</v>
      </c>
      <c r="AA23" s="1165">
        <f t="shared" si="14"/>
        <v>278</v>
      </c>
      <c r="AB23" s="1165">
        <f t="shared" si="14"/>
        <v>24</v>
      </c>
      <c r="AC23" s="1165">
        <f t="shared" si="14"/>
        <v>302</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0.94594594594594594</v>
      </c>
      <c r="AM23" s="1171">
        <f>IF(ISNUMBER(((NºAsuntos!I23/NºAsuntos!G23)*11)/factor_trimestre),((NºAsuntos!I23/NºAsuntos!G23)*11)/factor_trimestre," - ")</f>
        <v>7.9428571428571431</v>
      </c>
      <c r="AN23" s="1172">
        <f>IF(ISNUMBER('Resol  Asuntos'!D23/NºAsuntos!G23),'Resol  Asuntos'!D23/NºAsuntos!G23," - ")</f>
        <v>0.10476190476190476</v>
      </c>
      <c r="AO23" s="1173">
        <f>IF(ISNUMBER((NºAsuntos!C23+NºAsuntos!E23)/NºAsuntos!G23),(NºAsuntos!C23+NºAsuntos!E23)/NºAsuntos!G23," - ")</f>
        <v>3.6476190476190475</v>
      </c>
      <c r="AP23" s="1174" t="str">
        <f t="shared" si="2"/>
        <v xml:space="preserve"> - </v>
      </c>
      <c r="AQ23" s="1174">
        <f>IF(ISNUMBER((H23-W23+K23)/(F23)),(H23-W23+K23)/(F23)," - ")</f>
        <v>-0.41501976284584979</v>
      </c>
      <c r="AR23" s="1175">
        <f>IF(ISNUMBER((Datos!P23-Datos!Q23)/(Datos!R23-Datos!P23+Datos!Q23)),(Datos!P23-Datos!Q23)/(Datos!R23-Datos!P23+Datos!Q23)," - ")</f>
        <v>-0.14285714285714285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255</v>
      </c>
      <c r="G31" s="1118">
        <f t="shared" si="20"/>
        <v>274</v>
      </c>
      <c r="H31" s="1117">
        <f t="shared" si="20"/>
        <v>0</v>
      </c>
      <c r="I31" s="1119">
        <f t="shared" si="20"/>
        <v>0</v>
      </c>
      <c r="J31" s="1119">
        <f t="shared" si="20"/>
        <v>0</v>
      </c>
      <c r="K31" s="1180">
        <f t="shared" si="20"/>
        <v>0</v>
      </c>
      <c r="L31" s="1119">
        <f t="shared" si="20"/>
        <v>47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105</v>
      </c>
      <c r="X31" s="1118">
        <f t="shared" si="21"/>
        <v>32</v>
      </c>
      <c r="Y31" s="1125">
        <f t="shared" si="21"/>
        <v>137</v>
      </c>
      <c r="Z31" s="1125">
        <f t="shared" si="21"/>
        <v>0</v>
      </c>
      <c r="AA31" s="1125">
        <f t="shared" si="21"/>
        <v>280</v>
      </c>
      <c r="AB31" s="1125">
        <f t="shared" si="21"/>
        <v>543</v>
      </c>
      <c r="AC31" s="1125">
        <f t="shared" si="21"/>
        <v>306</v>
      </c>
      <c r="AD31" s="1125">
        <f t="shared" si="21"/>
        <v>0</v>
      </c>
      <c r="AE31" s="1127">
        <f t="shared" si="21"/>
        <v>0</v>
      </c>
      <c r="AF31" s="1128">
        <f t="shared" si="21"/>
        <v>0</v>
      </c>
      <c r="AG31" s="1129">
        <f t="shared" si="21"/>
        <v>0</v>
      </c>
      <c r="AH31" s="1127">
        <f t="shared" si="21"/>
        <v>0</v>
      </c>
      <c r="AI31" s="1117">
        <f t="shared" si="21"/>
        <v>16</v>
      </c>
      <c r="AJ31" s="1117">
        <f t="shared" si="21"/>
        <v>0</v>
      </c>
      <c r="AK31" s="1127">
        <f t="shared" si="21"/>
        <v>0</v>
      </c>
      <c r="AL31" s="1183">
        <f>IF(ISNUMBER(NºAsuntos!G31/NºAsuntos!E31),NºAsuntos!G31/NºAsuntos!E31," - ")</f>
        <v>0.64912280701754388</v>
      </c>
      <c r="AM31" s="1184">
        <f>IF(ISNUMBER(((NºAsuntos!I31/NºAsuntos!G31)*11)/factor_trimestre),((NºAsuntos!I31/NºAsuntos!G31)*11)/factor_trimestre," - ")</f>
        <v>10.637837837837838</v>
      </c>
      <c r="AN31" s="1184">
        <f>IF(ISNUMBER('Resol  Asuntos'!D31/NºAsuntos!G31),'Resol  Asuntos'!D31/NºAsuntos!G31," - ")</f>
        <v>8.6486486486486491E-2</v>
      </c>
      <c r="AO31" s="1185">
        <f>IF(ISNUMBER((NºAsuntos!C31+NºAsuntos!E31)/NºAsuntos!G31),(NºAsuntos!C31+NºAsuntos!E31)/NºAsuntos!G31," - ")</f>
        <v>4.5459459459459461</v>
      </c>
      <c r="AP31" s="1186" t="str">
        <f t="shared" si="2"/>
        <v xml:space="preserve"> - </v>
      </c>
      <c r="AQ31" s="1187">
        <f>IF(OR(ISNUMBER(FIND("01",Criterios!A8,1)),ISNUMBER(FIND("02",Criterios!A8,1)),ISNUMBER(FIND("03",Criterios!A8,1)),ISNUMBER(FIND("04",Criterios!A8,1))),(I31-W31+K31)/(F31-K31),(H31-W31+K31)/(F31-K31))</f>
        <v>-0.41176470588235292</v>
      </c>
      <c r="AR31" s="1188">
        <f>IF(ISNUMBER((Datos!P31-Datos!Q31)/(Datos!R31-Datos!P31+Datos!Q31)),(Datos!P31-Datos!Q31)/(Datos!R31-Datos!P31+Datos!Q31)," - ")</f>
        <v>2.8409090909090908E-2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78.285714285714292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130.13531419257419</v>
      </c>
      <c r="G33" s="277">
        <f>IF(ISNUMBER(STDEV(G8:G30)),STDEV(G8:G30),"-")</f>
        <v>126.13579228449828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50.229473419497438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4.8403069560278329</v>
      </c>
      <c r="AJ33" s="276">
        <f t="shared" si="25"/>
        <v>0</v>
      </c>
      <c r="AK33" s="278">
        <f t="shared" si="25"/>
        <v>0</v>
      </c>
      <c r="AL33" s="273">
        <f t="shared" si="25"/>
        <v>1.056671001150121</v>
      </c>
      <c r="AM33" s="274">
        <f t="shared" si="25"/>
        <v>4.1573421593471096</v>
      </c>
      <c r="AN33" s="274">
        <f t="shared" si="25"/>
        <v>4.3652795051657534E-2</v>
      </c>
      <c r="AO33" s="275">
        <f t="shared" si="25"/>
        <v>1.3857807197823668</v>
      </c>
      <c r="AP33" s="317" t="str">
        <f t="shared" si="25"/>
        <v>-</v>
      </c>
      <c r="AQ33" s="318">
        <f t="shared" si="25"/>
        <v>0.29346328863473314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ZzY/6+BmCF8d7BTqB/qopl3uAEOWtXvEyaI1a4J1usCaWLRweLa8JGrPIH1HasSr/W/JwCZZFESz0OVmdk4aQ==" saltValue="z9EDRma8MTaG4MAksuqv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TORO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-0.78260869565217395</v>
      </c>
      <c r="I12" s="395">
        <f>IF(ISNUMBER((Tasas!C12-Datos!BE12)/Datos!BE12),(Tasas!C12-Datos!BE12)/Datos!BE12," - ")</f>
        <v>0.52236503856041128</v>
      </c>
      <c r="J12" s="394">
        <f>IF(ISNUMBER((Tasas!D12-Datos!BF12)/Datos!BF12),(Tasas!D12-Datos!BF12)/Datos!BF12," - ")</f>
        <v>-0.85141509433962259</v>
      </c>
      <c r="K12" s="396">
        <f>IF(ISNUMBER((Tasas!E12-Datos!BG12)/Datos!BG12),(Tasas!E12-Datos!BG12)/Datos!BG12," - ")</f>
        <v>0.39456310679611667</v>
      </c>
      <c r="M12" t="e">
        <f>IF(Monitorios="SI",Datos!CE12,0)</f>
        <v>#REF!</v>
      </c>
      <c r="N12" t="e">
        <f>IF(Monitorios="SI",Datos!CF12,0)</f>
        <v>#REF!</v>
      </c>
      <c r="O12" t="e">
        <f>IF(Monitorios="SI",Datos!CG12,0)</f>
        <v>#REF!</v>
      </c>
      <c r="P12" t="e">
        <f>IF(Monitorios="SI",Datos!CH12,0)</f>
        <v>#REF!</v>
      </c>
      <c r="Q12">
        <f>IF(J_V="SI",0,Datos!AG12)</f>
        <v>89</v>
      </c>
      <c r="R12">
        <f>IF(J_V="SI",0,Datos!AH12)</f>
        <v>18</v>
      </c>
      <c r="S12">
        <f>IF(J_V="SI",0,Datos!AI12)</f>
        <v>11</v>
      </c>
      <c r="T12">
        <f>IF(J_V="SI",0,Datos!AJ12)</f>
        <v>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-0.78260869565217395</v>
      </c>
      <c r="I14" s="402">
        <f>IF(ISNUMBER((Tasas!C14-Datos!BE14)/Datos!BE14),(Tasas!C14-Datos!BE14)/Datos!BE14," - ")</f>
        <v>0.53471867007672624</v>
      </c>
      <c r="J14" s="400">
        <f>IF(ISNUMBER((Tasas!D14-Datos!BF14)/Datos!BF14),(Tasas!D14-Datos!BF14)/Datos!BF14," - ")</f>
        <v>-0.85023584905660377</v>
      </c>
      <c r="K14" s="403">
        <f>IF(ISNUMBER((Tasas!E14-Datos!BG14)/Datos!BG14),(Tasas!E14-Datos!BG14)/Datos!BG14," - ")</f>
        <v>0.40361969111969109</v>
      </c>
      <c r="M14" t="e">
        <f>IF(Monitorios="SI",Datos!CE14,0)</f>
        <v>#REF!</v>
      </c>
      <c r="N14" t="e">
        <f>IF(Monitorios="SI",Datos!CF14,0)</f>
        <v>#REF!</v>
      </c>
      <c r="O14" t="e">
        <f>IF(Monitorios="SI",Datos!CG14,0)</f>
        <v>#REF!</v>
      </c>
      <c r="P14" t="e">
        <f>IF(Monitorios="SI",Datos!CH14,0)</f>
        <v>#REF!</v>
      </c>
      <c r="Q14">
        <f>IF(J_V="SI",0,Datos!AG14)</f>
        <v>89</v>
      </c>
      <c r="R14">
        <f>IF(J_V="SI",0,Datos!AH14)</f>
        <v>18</v>
      </c>
      <c r="S14">
        <f>IF(J_V="SI",0,Datos!AI14)</f>
        <v>11</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-0.35128205128205126</v>
      </c>
      <c r="E17" s="393">
        <f>IF(ISNUMBER(
   IF(D_I="SI",(Datos!J17-Datos!T17)/Datos!T17,(Datos!J17+Datos!AD17-(Datos!T17+Datos!AL17))/(Datos!T17+Datos!AL17))
     ),IF(D_I="SI",(Datos!J17-Datos!T17)/Datos!T17,(Datos!J17+Datos!AD17-(Datos!T17+Datos!AL17))/(Datos!T17+Datos!AL17))," - ")</f>
        <v>0.52777777777777779</v>
      </c>
      <c r="F17" s="393">
        <f>IF(ISNUMBER(
   IF(D_I="SI",(Datos!K17-Datos!U17)/Datos!U17,(Datos!K17+Datos!AE17-(Datos!U17+Datos!AM17))/(Datos!U17+Datos!AM17))
     ),IF(D_I="SI",(Datos!K17-Datos!U17)/Datos!U17,(Datos!K17+Datos!AE17-(Datos!U17+Datos!AM17))/(Datos!U17+Datos!AM17))," - ")</f>
        <v>-0.25</v>
      </c>
      <c r="G17" s="394">
        <f>IF(ISNUMBER(
   IF(D_I="SI",(Datos!L17-Datos!V17)/Datos!V17,(Datos!L17+Datos!AF17-(Datos!V17+Datos!AN17))/(Datos!V17+Datos!AN17))
     ),IF(D_I="SI",(Datos!L17-Datos!V17)/Datos!V17,(Datos!L17+Datos!AF17-(Datos!V17+Datos!AN17))/(Datos!V17+Datos!AN17))," - ")</f>
        <v>-0.19444444444444445</v>
      </c>
      <c r="H17" s="244">
        <f>IF(ISNUMBER((Datos!M17-Datos!W17)/Datos!W17),(Datos!M17-Datos!W17)/Datos!W17," - ")</f>
        <v>-0.3888888888888889</v>
      </c>
      <c r="I17" s="395">
        <f>IF(ISNUMBER((Tasas!C17-Datos!BE17)/Datos!BE17),(Tasas!C17-Datos!BE17)/Datos!BE17," - ")</f>
        <v>7.4074074074074001E-2</v>
      </c>
      <c r="J17" s="394">
        <f>IF(ISNUMBER((Tasas!D17-Datos!BF17)/Datos!BF17),(Tasas!D17-Datos!BF17)/Datos!BF17," - ")</f>
        <v>-0.18518518518518515</v>
      </c>
      <c r="K17" s="396">
        <f>IF(ISNUMBER((Tasas!E17-Datos!BG17)/Datos!BG17),(Tasas!E17-Datos!BG17)/Datos!BG17," - ")</f>
        <v>4.7619047619047582E-2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0.9</v>
      </c>
      <c r="E18" s="393">
        <f>IF(ISNUMBER(
   IF(D_I="SI",(Datos!J18-Datos!T18)/Datos!T18,(Datos!J18+Datos!AD18-(Datos!T18+Datos!AL18))/(Datos!T18+Datos!AL18))
     ),IF(D_I="SI",(Datos!J18-Datos!T18)/Datos!T18,(Datos!J18+Datos!AD18-(Datos!T18+Datos!AL18))/(Datos!T18+Datos!AL18))," - ")</f>
        <v>-0.8</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0.30769230769230771</v>
      </c>
      <c r="H18" s="244" t="str">
        <f>IF(ISNUMBER((Datos!M18-Datos!W18)/Datos!W18),(Datos!M18-Datos!W18)/Datos!W18," - ")</f>
        <v xml:space="preserve"> - </v>
      </c>
      <c r="I18" s="395">
        <f>IF(ISNUMBER((Tasas!C18-Datos!BE18)/Datos!BE18),(Tasas!C18-Datos!BE18)/Datos!BE18," - ")</f>
        <v>-0.12820512820512817</v>
      </c>
      <c r="J18" s="394" t="str">
        <f>IF(ISNUMBER((Tasas!D18-Datos!BF18)/Datos!BF18),(Tasas!D18-Datos!BF18)/Datos!BF18," - ")</f>
        <v xml:space="preserve"> - </v>
      </c>
      <c r="K18" s="396">
        <f>IF(ISNUMBER((Tasas!E18-Datos!BG18)/Datos!BG18),(Tasas!E18-Datos!BG18)/Datos!BG18," - ")</f>
        <v>-0.11111111111111108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v>
      </c>
      <c r="E23" s="399">
        <f>IF(ISNUMBER(
   IF(D_I="SI",(Datos!J23-Datos!T23)/Datos!T23,(Datos!J23+Datos!AD23-(Datos!T23+Datos!AL23))/(Datos!T23+Datos!AL23))
     ),IF(D_I="SI",(Datos!J23-Datos!T23)/Datos!T23,(Datos!J23+Datos!AD23-(Datos!T23+Datos!AL23))/(Datos!T23+Datos!AL23))," - ")</f>
        <v>0.44155844155844154</v>
      </c>
      <c r="F23" s="399">
        <f>IF(ISNUMBER(
   IF(D_I="SI",(Datos!K23-Datos!U23)/Datos!U23,(Datos!K23+Datos!AE23-(Datos!U23+Datos!AM23))/(Datos!U23+Datos!AM23))
     ),IF(D_I="SI",(Datos!K23-Datos!U23)/Datos!U23,(Datos!K23+Datos!AE23-(Datos!U23+Datos!AM23))/(Datos!U23+Datos!AM23))," - ")</f>
        <v>-0.2391304347826087</v>
      </c>
      <c r="G23" s="400">
        <f>IF(ISNUMBER(
   IF(D_I="SI",(Datos!L23-Datos!V23)/Datos!V23,(Datos!L23+Datos!AF23-(Datos!V23+Datos!AN23))/(Datos!V23+Datos!AN23))
     ),IF(D_I="SI",(Datos!L23-Datos!V23)/Datos!V23,(Datos!L23+Datos!AF23-(Datos!V23+Datos!AN23))/(Datos!V23+Datos!AN23))," - ")</f>
        <v>-0.17507418397626112</v>
      </c>
      <c r="H23" s="401">
        <f>IF(ISNUMBER((Datos!M23-Datos!W23)/Datos!W23),(Datos!M23-Datos!W23)/Datos!W23," - ")</f>
        <v>-0.3888888888888889</v>
      </c>
      <c r="I23" s="402">
        <f>IF(ISNUMBER((Tasas!C23-Datos!BE23)/Datos!BE23),(Tasas!C23-Datos!BE23)/Datos!BE23," - ")</f>
        <v>8.4188215345485262E-2</v>
      </c>
      <c r="J23" s="400">
        <f>IF(ISNUMBER((Tasas!D23-Datos!BF23)/Datos!BF23),(Tasas!D23-Datos!BF23)/Datos!BF23," - ")</f>
        <v>-0.19682539682539679</v>
      </c>
      <c r="K23" s="403">
        <f>IF(ISNUMBER((Tasas!E23-Datos!BG23)/Datos!BG23),(Tasas!E23-Datos!BG23)/Datos!BG23," - ")</f>
        <v>5.5286013776579851E-2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-0.26938239159001315</v>
      </c>
      <c r="E31" s="409">
        <f>IF(ISNUMBER(
   IF(J_V="SI",(Datos!J31-Datos!T31)/Datos!T31,(Datos!J31+Datos!Z31-(Datos!T31+Datos!AH31))/(Datos!T31+Datos!AH31))
     ),IF(J_V="SI",(Datos!J31-Datos!T31)/Datos!T31,(Datos!J31+Datos!Z31-(Datos!T31+Datos!AH31))/(Datos!T31+Datos!AH31))," - ")</f>
        <v>0.21794871794871795</v>
      </c>
      <c r="F31" s="409">
        <f>IF(ISNUMBER(
   IF(J_V="SI",(Datos!K31-Datos!U31)/Datos!U31,(Datos!K31+Datos!AA31-(Datos!U31+Datos!AI31))/(Datos!U31+Datos!AI31))
     ),IF(J_V="SI",(Datos!K31-Datos!U31)/Datos!U31,(Datos!K31+Datos!AA31-(Datos!U31+Datos!AI31))/(Datos!U31+Datos!AI31))," - ")</f>
        <v>-0.30188679245283018</v>
      </c>
      <c r="G31" s="410">
        <f>IF(ISNUMBER(
   IF(J_V="SI",(Datos!L31-Datos!V31)/Datos!V31,(Datos!L31+Datos!AB31-(Datos!V31+Datos!AJ31))/(Datos!V31+Datos!AJ31))
     ),IF(J_V="SI",(Datos!L31-Datos!V31)/Datos!V31,(Datos!L31+Datos!AB31-(Datos!V31+Datos!AJ31))/(Datos!V31+Datos!AJ31))," - ")</f>
        <v>-9.8901098901098897E-2</v>
      </c>
      <c r="H31" s="411">
        <f>IF(ISNUMBER((Datos!M31-Datos!W31)/Datos!W31),(Datos!M31-Datos!W31)/Datos!W31," - ")</f>
        <v>-0.6097560975609756</v>
      </c>
      <c r="I31" s="408">
        <f>IF(ISNUMBER((Tasas!C31-Datos!BE31)/Datos!BE31),(Tasas!C31-Datos!BE31)/Datos!BE31," - ")</f>
        <v>0.29076329076329094</v>
      </c>
      <c r="J31" s="409">
        <f>IF(ISNUMBER((Tasas!D31-Datos!BF31)/Datos!BF31),(Tasas!D31-Datos!BF31)/Datos!BF31," - ")</f>
        <v>-0.67719832508564903</v>
      </c>
      <c r="K31" s="410">
        <f>IF(ISNUMBER((Tasas!E31-Datos!BG31)/Datos!BG31),(Tasas!E31-Datos!BG31)/Datos!BG31," - ")</f>
        <v>0.21072932228711133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0.58387244741081623</v>
      </c>
      <c r="E33" s="303">
        <f t="shared" si="1"/>
        <v>0.80436779748671938</v>
      </c>
      <c r="F33" s="303">
        <f t="shared" si="1"/>
        <v>0.61239655196776199</v>
      </c>
      <c r="G33" s="304">
        <f t="shared" si="1"/>
        <v>0.23250702111232216</v>
      </c>
      <c r="H33" s="310">
        <f t="shared" si="1"/>
        <v>0.22731423642007006</v>
      </c>
      <c r="I33" s="302">
        <f t="shared" si="1"/>
        <v>0.29640572464512233</v>
      </c>
      <c r="J33" s="303">
        <f t="shared" si="1"/>
        <v>0.38097730178351502</v>
      </c>
      <c r="K33" s="304">
        <f t="shared" si="1"/>
        <v>0.22991631292305137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iB8T4o9g40qnuxXXsVIPmLNfg/k1fISiYRdSDYQnDnszfyRWl7MqklsV8zf6p16d/fwu2wXhm2GSB7I20Od4w==" saltValue="dgg4Any8ve6O2XGB6T0B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